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5" r:id="rId2"/>
  </sheets>
  <externalReferences>
    <externalReference r:id="rId3"/>
  </externalReferences>
  <definedNames>
    <definedName name="_xlnm.Print_Area" localSheetId="0">Sheet1!$A$1:$L$25</definedName>
    <definedName name="_xlnm.Print_Area" localSheetId="1">Sheet2!$A$1:$L$31</definedName>
  </definedNames>
  <calcPr calcId="144525"/>
</workbook>
</file>

<file path=xl/sharedStrings.xml><?xml version="1.0" encoding="utf-8"?>
<sst xmlns="http://schemas.openxmlformats.org/spreadsheetml/2006/main" count="110" uniqueCount="63">
  <si>
    <t xml:space="preserve">工 程 进 度 完 工 确 认 表 </t>
  </si>
  <si>
    <t>单位名称</t>
  </si>
  <si>
    <t>施工单位名称</t>
  </si>
  <si>
    <t>工程项目名称</t>
  </si>
  <si>
    <t>施工时间</t>
  </si>
  <si>
    <t>完工时间</t>
  </si>
  <si>
    <t xml:space="preserve"> </t>
  </si>
  <si>
    <t>工程施工内容</t>
  </si>
  <si>
    <t>序号</t>
  </si>
  <si>
    <t>内容名称</t>
  </si>
  <si>
    <t>单位</t>
  </si>
  <si>
    <t>工程量</t>
  </si>
  <si>
    <t>合计数量</t>
  </si>
  <si>
    <t>合同单价</t>
  </si>
  <si>
    <t>付款比率</t>
  </si>
  <si>
    <t>金额</t>
  </si>
  <si>
    <t>大开挖工程量</t>
  </si>
  <si>
    <t>地下室垫层外边线至地面土石方挖运</t>
  </si>
  <si>
    <t>m3</t>
  </si>
  <si>
    <t>地下室内壁至垫层外边线至地面土石方挖运</t>
  </si>
  <si>
    <t>基坑平台面及斜坡面土石方挖运</t>
  </si>
  <si>
    <t>1-1至7-7剖面</t>
  </si>
  <si>
    <t>100mm侧壁φ8  200钢筋网C20混凝土护壁制安</t>
  </si>
  <si>
    <t>m2</t>
  </si>
  <si>
    <t>80mm侧壁φ6  200钢筋网C20混凝土平面制安</t>
  </si>
  <si>
    <t>80mm侧壁φ6  200钢筋网C20混凝土斜面制安</t>
  </si>
  <si>
    <t>80mm侧壁φ6  200钢筋网C20混凝土压顶制安</t>
  </si>
  <si>
    <t>1φ16@1500钢筋L=2000mm</t>
  </si>
  <si>
    <t>kg</t>
  </si>
  <si>
    <t>32a槽钢制安</t>
  </si>
  <si>
    <t>m</t>
  </si>
  <si>
    <t>1φ48×3注浆钢化管L=15M，焊刺、成孔、注浆</t>
  </si>
  <si>
    <t>1φ48×3注浆钢化管L=18M，焊刺、成孔、注浆</t>
  </si>
  <si>
    <t>1φ48×3注浆钢化管L= 8M，焊刺、成孔、注浆</t>
  </si>
  <si>
    <t>工程进度金额合计：9862266.64 元</t>
  </si>
  <si>
    <t>本工程进度应支付工程进度款合计：5224263.91元</t>
  </si>
  <si>
    <t>施工单位</t>
  </si>
  <si>
    <t xml:space="preserve">施工单位签名：                     日期：     年   月    日                                                                                    </t>
  </si>
  <si>
    <t>监理单位</t>
  </si>
  <si>
    <t xml:space="preserve">监理单位签名：                     日期：     年   月    日                                                                                    </t>
  </si>
  <si>
    <t>业主单位意见</t>
  </si>
  <si>
    <t xml:space="preserve">业主单位签名：                     日期：     年   月    日                                                                                    </t>
  </si>
  <si>
    <t>排水沟（含垫层、砌砖、抹灰）</t>
  </si>
  <si>
    <t>排水沟（坑下）</t>
  </si>
  <si>
    <t>1000桩（混凝土底算至冠梁底）</t>
  </si>
  <si>
    <t>混凝土（含成孔、凿桩头、调直、砼浇捣）</t>
  </si>
  <si>
    <t>纵筋23C20制安</t>
  </si>
  <si>
    <t>箍筋φ12  150制安</t>
  </si>
  <si>
    <t>加劲箍φ16C2000制安</t>
  </si>
  <si>
    <t>C30冠梁+混凝土板</t>
  </si>
  <si>
    <t>混凝土（成孔、凿桩头、钢筋、砼浇捣）</t>
  </si>
  <si>
    <t>纵筋5C25制安</t>
  </si>
  <si>
    <t>纵筋4C16制安</t>
  </si>
  <si>
    <t>纵筋20C14制安</t>
  </si>
  <si>
    <t>纵筋φ20  120制安</t>
  </si>
  <si>
    <t>模板800制安</t>
  </si>
  <si>
    <t>配套工程量</t>
  </si>
  <si>
    <t>水平位移沉降观测点制安</t>
  </si>
  <si>
    <t>个</t>
  </si>
  <si>
    <t>降水井（坑内）成孔、钢筋制安、滤成</t>
  </si>
  <si>
    <t>集水井（坑上、坑内）制安</t>
  </si>
  <si>
    <t>测斜孔（坑上）制安</t>
  </si>
  <si>
    <t>工程金额合计：9862266.64 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</si>
</sst>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 "/>
  </numFmts>
  <fonts count="32">
    <font>
      <sz val="12"/>
      <name val="宋体"/>
      <charset val="134"/>
    </font>
    <font>
      <b/>
      <sz val="30"/>
      <name val="微软雅黑"/>
      <charset val="134"/>
    </font>
    <font>
      <sz val="16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22"/>
      <color theme="0"/>
      <name val="微软雅黑"/>
      <charset val="134"/>
    </font>
    <font>
      <sz val="12"/>
      <name val="微软雅黑"/>
      <charset val="134"/>
    </font>
    <font>
      <sz val="12"/>
      <color theme="0"/>
      <name val="微软雅黑"/>
      <charset val="134"/>
    </font>
    <font>
      <sz val="16"/>
      <name val="微软雅黑"/>
      <charset val="134"/>
    </font>
    <font>
      <sz val="9"/>
      <name val="微软雅黑"/>
      <charset val="134"/>
    </font>
    <font>
      <b/>
      <sz val="10"/>
      <name val="微软雅黑"/>
      <charset val="134"/>
    </font>
    <font>
      <sz val="9"/>
      <color indexed="8"/>
      <name val="微软雅黑"/>
      <charset val="134"/>
    </font>
    <font>
      <u/>
      <sz val="10.2"/>
      <color indexed="36"/>
      <name val="宋体"/>
      <charset val="134"/>
    </font>
    <font>
      <sz val="11"/>
      <color rgb="FFFF0000"/>
      <name val="宋体"/>
      <charset val="134"/>
      <scheme val="minor"/>
    </font>
    <font>
      <u/>
      <sz val="10"/>
      <color indexed="12"/>
      <name val="Arial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5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6" fillId="19" borderId="28" applyNumberFormat="0" applyFont="0" applyAlignment="0" applyProtection="0">
      <alignment vertical="center"/>
    </xf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1" borderId="23" applyNumberFormat="0" applyAlignment="0" applyProtection="0">
      <alignment vertical="center"/>
    </xf>
    <xf numFmtId="0" fontId="31" fillId="11" borderId="26" applyNumberFormat="0" applyAlignment="0" applyProtection="0">
      <alignment vertical="center"/>
    </xf>
    <xf numFmtId="0" fontId="30" fillId="34" borderId="30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1" fontId="0" fillId="0" borderId="4" xfId="0" applyNumberFormat="1" applyBorder="1" applyAlignment="1">
      <alignment horizontal="center" vertical="center"/>
    </xf>
    <xf numFmtId="31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177" fontId="3" fillId="0" borderId="4" xfId="50" applyNumberFormat="1" applyFont="1" applyFill="1" applyBorder="1" applyAlignment="1">
      <alignment horizontal="left" vertical="center" wrapText="1"/>
    </xf>
    <xf numFmtId="0" fontId="3" fillId="0" borderId="4" xfId="50" applyFont="1" applyFill="1" applyBorder="1" applyAlignment="1">
      <alignment horizontal="center" vertical="center"/>
    </xf>
    <xf numFmtId="176" fontId="3" fillId="0" borderId="4" xfId="5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7" fontId="3" fillId="3" borderId="4" xfId="14" applyNumberFormat="1" applyFont="1" applyFill="1" applyBorder="1" applyAlignment="1">
      <alignment horizontal="left" vertical="center" wrapText="1"/>
    </xf>
    <xf numFmtId="0" fontId="3" fillId="3" borderId="4" xfId="14" applyFont="1" applyFill="1" applyBorder="1" applyAlignment="1">
      <alignment horizontal="center" vertical="center"/>
    </xf>
    <xf numFmtId="177" fontId="3" fillId="3" borderId="4" xfId="50" applyNumberFormat="1" applyFont="1" applyFill="1" applyBorder="1" applyAlignment="1">
      <alignment horizontal="left" vertical="center" wrapText="1"/>
    </xf>
    <xf numFmtId="0" fontId="3" fillId="3" borderId="4" xfId="50" applyFont="1" applyFill="1" applyBorder="1" applyAlignment="1">
      <alignment horizontal="center" vertical="center"/>
    </xf>
    <xf numFmtId="177" fontId="3" fillId="3" borderId="4" xfId="10" applyNumberFormat="1" applyFont="1" applyFill="1" applyBorder="1" applyAlignment="1" applyProtection="1">
      <alignment horizontal="left" vertical="center" wrapText="1"/>
    </xf>
    <xf numFmtId="176" fontId="3" fillId="3" borderId="4" xfId="50" applyNumberFormat="1" applyFont="1" applyFill="1" applyBorder="1" applyAlignment="1">
      <alignment horizontal="center" vertical="center"/>
    </xf>
    <xf numFmtId="177" fontId="3" fillId="0" borderId="4" xfId="1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center" vertical="center" wrapText="1"/>
    </xf>
    <xf numFmtId="176" fontId="4" fillId="3" borderId="18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17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 wrapText="1"/>
    </xf>
    <xf numFmtId="31" fontId="7" fillId="4" borderId="4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textRotation="255"/>
    </xf>
    <xf numFmtId="177" fontId="9" fillId="5" borderId="4" xfId="50" applyNumberFormat="1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/>
    </xf>
    <xf numFmtId="0" fontId="10" fillId="5" borderId="4" xfId="50" applyFont="1" applyFill="1" applyBorder="1" applyAlignment="1">
      <alignment horizontal="center" vertical="center"/>
    </xf>
    <xf numFmtId="0" fontId="9" fillId="5" borderId="4" xfId="50" applyFont="1" applyFill="1" applyBorder="1" applyAlignment="1">
      <alignment horizontal="center" vertical="center"/>
    </xf>
    <xf numFmtId="176" fontId="9" fillId="5" borderId="4" xfId="50" applyNumberFormat="1" applyFont="1" applyFill="1" applyBorder="1" applyAlignment="1">
      <alignment horizontal="right" vertical="center"/>
    </xf>
    <xf numFmtId="176" fontId="9" fillId="5" borderId="4" xfId="50" applyNumberFormat="1" applyFont="1" applyFill="1" applyBorder="1" applyAlignment="1">
      <alignment horizontal="center" vertical="center"/>
    </xf>
    <xf numFmtId="177" fontId="9" fillId="5" borderId="4" xfId="10" applyNumberFormat="1" applyFont="1" applyFill="1" applyBorder="1" applyAlignment="1" applyProtection="1">
      <alignment horizontal="left" vertical="center" wrapText="1"/>
    </xf>
    <xf numFmtId="0" fontId="6" fillId="5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right" wrapText="1"/>
    </xf>
    <xf numFmtId="0" fontId="7" fillId="4" borderId="4" xfId="0" applyFont="1" applyFill="1" applyBorder="1" applyAlignment="1">
      <alignment horizontal="right" wrapText="1"/>
    </xf>
    <xf numFmtId="0" fontId="5" fillId="4" borderId="22" xfId="0" applyFont="1" applyFill="1" applyBorder="1" applyAlignment="1">
      <alignment horizontal="center" vertical="center"/>
    </xf>
    <xf numFmtId="176" fontId="6" fillId="5" borderId="4" xfId="0" applyNumberFormat="1" applyFont="1" applyFill="1" applyBorder="1" applyAlignment="1">
      <alignment horizontal="center" vertical="center"/>
    </xf>
    <xf numFmtId="177" fontId="9" fillId="5" borderId="4" xfId="50" applyNumberFormat="1" applyFont="1" applyFill="1" applyBorder="1" applyAlignment="1">
      <alignment horizontal="center" vertical="center"/>
    </xf>
    <xf numFmtId="176" fontId="9" fillId="5" borderId="4" xfId="0" applyNumberFormat="1" applyFont="1" applyFill="1" applyBorder="1" applyAlignment="1">
      <alignment horizontal="center" vertical="center" wrapText="1"/>
    </xf>
    <xf numFmtId="176" fontId="11" fillId="5" borderId="4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Sheet12_1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1_1" xfId="50"/>
  </cellStyles>
  <tableStyles count="0" defaultTableStyle="TableStyleMedium2" defaultPivotStyle="PivotStyleLight16"/>
  <colors>
    <mruColors>
      <color rgb="00DDEBF7"/>
      <color rgb="00548235"/>
      <color rgb="00D9E1F2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~1\ADMINI~1\LOCALS~1\Temp\Rar$DIa0.730\&#21512;&#21516;&#38468;&#20214;&#24050;&#26631;&#2021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同附件"/>
      <sheetName val="工程量汇总"/>
      <sheetName val="工程量计算式"/>
    </sheetNames>
    <sheetDataSet>
      <sheetData sheetId="0">
        <row r="6">
          <cell r="E6">
            <v>28.5</v>
          </cell>
        </row>
        <row r="7">
          <cell r="E7">
            <v>28.5</v>
          </cell>
        </row>
        <row r="8">
          <cell r="E8">
            <v>28.5</v>
          </cell>
        </row>
        <row r="10">
          <cell r="E10">
            <v>75</v>
          </cell>
        </row>
        <row r="11">
          <cell r="E11">
            <v>43</v>
          </cell>
        </row>
        <row r="12">
          <cell r="E12">
            <v>43</v>
          </cell>
        </row>
        <row r="13">
          <cell r="E13">
            <v>43</v>
          </cell>
        </row>
        <row r="14">
          <cell r="E14">
            <v>5.5</v>
          </cell>
        </row>
        <row r="15">
          <cell r="E15">
            <v>320</v>
          </cell>
        </row>
        <row r="16">
          <cell r="E16">
            <v>58</v>
          </cell>
        </row>
        <row r="17">
          <cell r="E17">
            <v>58</v>
          </cell>
        </row>
        <row r="18">
          <cell r="E18">
            <v>58</v>
          </cell>
        </row>
        <row r="25">
          <cell r="E25">
            <v>72</v>
          </cell>
        </row>
        <row r="26">
          <cell r="E26">
            <v>60</v>
          </cell>
        </row>
        <row r="28">
          <cell r="E28">
            <v>900</v>
          </cell>
        </row>
        <row r="29">
          <cell r="E29">
            <v>5.5</v>
          </cell>
        </row>
        <row r="30">
          <cell r="E30">
            <v>5.5</v>
          </cell>
        </row>
        <row r="31">
          <cell r="E31">
            <v>5.5</v>
          </cell>
        </row>
        <row r="33">
          <cell r="E33">
            <v>850</v>
          </cell>
        </row>
        <row r="34">
          <cell r="E34">
            <v>5.5</v>
          </cell>
        </row>
        <row r="35">
          <cell r="E35">
            <v>5.5</v>
          </cell>
        </row>
        <row r="36">
          <cell r="E36">
            <v>5.5</v>
          </cell>
        </row>
        <row r="37">
          <cell r="E37">
            <v>5.5</v>
          </cell>
        </row>
        <row r="38">
          <cell r="E38">
            <v>5.5</v>
          </cell>
        </row>
        <row r="39">
          <cell r="E39">
            <v>40</v>
          </cell>
        </row>
        <row r="41">
          <cell r="E41">
            <v>1100</v>
          </cell>
        </row>
        <row r="42">
          <cell r="E42">
            <v>2500</v>
          </cell>
        </row>
        <row r="43">
          <cell r="E43">
            <v>800</v>
          </cell>
        </row>
        <row r="44">
          <cell r="E4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100mm&#20391;&#22721;&#966;8@200&#38050;&#31563;&#32593;C20&#28151;&#20957;&#22303;&#25252;&#22721;&#21046;&#23433;" TargetMode="External"/><Relationship Id="rId3" Type="http://schemas.openxmlformats.org/officeDocument/2006/relationships/hyperlink" Target="mailto:80mm&#20391;&#22721;&#966;6@200&#38050;&#31563;&#32593;C20&#28151;&#20957;&#22303;&#24179;&#38754;&#21046;&#23433;" TargetMode="External"/><Relationship Id="rId2" Type="http://schemas.openxmlformats.org/officeDocument/2006/relationships/hyperlink" Target="mailto:80mm&#20391;&#22721;&#966;6@200&#38050;&#31563;&#32593;C20&#28151;&#20957;&#22303;&#26012;&#38754;&#21046;&#23433;" TargetMode="External"/><Relationship Id="rId1" Type="http://schemas.openxmlformats.org/officeDocument/2006/relationships/hyperlink" Target="mailto:80mm&#20391;&#22721;&#966;6@200&#38050;&#31563;&#32593;C20&#28151;&#20957;&#22303;&#21387;&#39030;&#21046;&#23433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zoomScale="106" zoomScaleNormal="106" workbookViewId="0">
      <selection activeCell="N8" sqref="N8"/>
    </sheetView>
  </sheetViews>
  <sheetFormatPr defaultColWidth="9" defaultRowHeight="14.25"/>
  <cols>
    <col min="1" max="1" width="4.5" customWidth="1"/>
    <col min="2" max="2" width="8.625" customWidth="1"/>
    <col min="3" max="3" width="25.75" customWidth="1"/>
    <col min="4" max="4" width="5.5" customWidth="1"/>
    <col min="5" max="5" width="9.375" customWidth="1"/>
    <col min="6" max="6" width="0.25" hidden="1" customWidth="1"/>
    <col min="7" max="7" width="4.75" hidden="1" customWidth="1"/>
    <col min="8" max="8" width="4" hidden="1" customWidth="1"/>
    <col min="9" max="9" width="5.125" customWidth="1"/>
    <col min="10" max="10" width="9.375" customWidth="1"/>
    <col min="11" max="11" width="6.25" customWidth="1"/>
    <col min="12" max="12" width="11.5" customWidth="1"/>
  </cols>
  <sheetData>
    <row r="1" ht="47.25" customHeight="1" spans="1:12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77"/>
    </row>
    <row r="2" ht="24" customHeight="1" spans="1:12">
      <c r="A2" s="56" t="s">
        <v>1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ht="24" customHeight="1" spans="1:12">
      <c r="A3" s="58" t="s">
        <v>2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ht="24" customHeight="1" spans="1:12">
      <c r="A4" s="58" t="s">
        <v>3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ht="24" customHeight="1" spans="1:12">
      <c r="A5" s="60" t="s">
        <v>4</v>
      </c>
      <c r="B5" s="60"/>
      <c r="C5" s="61"/>
      <c r="D5" s="62" t="s">
        <v>5</v>
      </c>
      <c r="E5" s="63"/>
      <c r="F5" s="61" t="s">
        <v>6</v>
      </c>
      <c r="G5" s="64"/>
      <c r="H5" s="64"/>
      <c r="I5" s="64"/>
      <c r="J5" s="64"/>
      <c r="K5" s="64"/>
      <c r="L5" s="64"/>
    </row>
    <row r="6" ht="42" customHeight="1" spans="1:12">
      <c r="A6" s="65" t="s">
        <v>7</v>
      </c>
      <c r="B6" s="60" t="s">
        <v>8</v>
      </c>
      <c r="C6" s="58" t="s">
        <v>9</v>
      </c>
      <c r="D6" s="58" t="s">
        <v>10</v>
      </c>
      <c r="E6" s="58" t="s">
        <v>11</v>
      </c>
      <c r="F6" s="58"/>
      <c r="G6" s="58"/>
      <c r="H6" s="58"/>
      <c r="I6" s="58" t="s">
        <v>12</v>
      </c>
      <c r="J6" s="58" t="s">
        <v>13</v>
      </c>
      <c r="K6" s="58" t="s">
        <v>14</v>
      </c>
      <c r="L6" s="67" t="s">
        <v>15</v>
      </c>
    </row>
    <row r="7" ht="22.5" customHeight="1" spans="1:12">
      <c r="A7" s="65"/>
      <c r="B7" s="64">
        <v>1</v>
      </c>
      <c r="C7" s="66" t="s">
        <v>16</v>
      </c>
      <c r="D7" s="67"/>
      <c r="E7" s="68"/>
      <c r="F7" s="67"/>
      <c r="G7" s="67"/>
      <c r="H7" s="67"/>
      <c r="I7" s="67"/>
      <c r="J7" s="67"/>
      <c r="K7" s="67"/>
      <c r="L7" s="78"/>
    </row>
    <row r="8" ht="25.5" customHeight="1" spans="1:12">
      <c r="A8" s="65"/>
      <c r="B8" s="64">
        <v>2</v>
      </c>
      <c r="C8" s="66" t="s">
        <v>17</v>
      </c>
      <c r="D8" s="69" t="s">
        <v>18</v>
      </c>
      <c r="E8" s="70">
        <f>11057.18*(-0.15+9.15+0.1)</f>
        <v>100620.338</v>
      </c>
      <c r="F8" s="67"/>
      <c r="G8" s="67"/>
      <c r="H8" s="67"/>
      <c r="I8" s="79">
        <v>1</v>
      </c>
      <c r="J8" s="80">
        <f>[1]合同附件!E6*(100-2)%</f>
        <v>27.93</v>
      </c>
      <c r="K8" s="67"/>
      <c r="L8" s="80">
        <f>E8*J8</f>
        <v>2810326.04034</v>
      </c>
    </row>
    <row r="9" ht="30" customHeight="1" spans="1:12">
      <c r="A9" s="65"/>
      <c r="B9" s="64">
        <v>3</v>
      </c>
      <c r="C9" s="66" t="s">
        <v>19</v>
      </c>
      <c r="D9" s="69" t="s">
        <v>18</v>
      </c>
      <c r="E9" s="70">
        <f>(11790.33-11057.18)*(-0.15+9.15+0.1)</f>
        <v>6671.665</v>
      </c>
      <c r="F9" s="67"/>
      <c r="G9" s="67"/>
      <c r="H9" s="67"/>
      <c r="I9" s="79">
        <v>1</v>
      </c>
      <c r="J9" s="81">
        <f>[1]合同附件!E7*(100-2)%</f>
        <v>27.93</v>
      </c>
      <c r="K9" s="67"/>
      <c r="L9" s="81">
        <f>E9*J9</f>
        <v>186339.60345</v>
      </c>
    </row>
    <row r="10" ht="30" customHeight="1" spans="1:12">
      <c r="A10" s="65"/>
      <c r="B10" s="64">
        <v>4</v>
      </c>
      <c r="C10" s="66" t="s">
        <v>20</v>
      </c>
      <c r="D10" s="69" t="s">
        <v>18</v>
      </c>
      <c r="E10" s="71">
        <v>6946.87</v>
      </c>
      <c r="F10" s="67"/>
      <c r="G10" s="67"/>
      <c r="H10" s="67"/>
      <c r="I10" s="79">
        <v>1</v>
      </c>
      <c r="J10" s="80">
        <f>[1]合同附件!E8*(100-2)%</f>
        <v>27.93</v>
      </c>
      <c r="K10" s="67"/>
      <c r="L10" s="80">
        <f>E10*J10</f>
        <v>194026.0791</v>
      </c>
    </row>
    <row r="11" ht="22.5" customHeight="1" spans="1:12">
      <c r="A11" s="65"/>
      <c r="B11" s="64">
        <v>5</v>
      </c>
      <c r="C11" s="66" t="s">
        <v>21</v>
      </c>
      <c r="D11" s="69"/>
      <c r="E11" s="70"/>
      <c r="F11" s="67"/>
      <c r="G11" s="67"/>
      <c r="H11" s="67"/>
      <c r="I11" s="79"/>
      <c r="J11" s="67"/>
      <c r="K11" s="67"/>
      <c r="L11" s="81"/>
    </row>
    <row r="12" ht="30" customHeight="1" spans="1:12">
      <c r="A12" s="65"/>
      <c r="B12" s="64">
        <v>6</v>
      </c>
      <c r="C12" s="72" t="s">
        <v>22</v>
      </c>
      <c r="D12" s="69" t="s">
        <v>23</v>
      </c>
      <c r="E12" s="70">
        <v>3638.91</v>
      </c>
      <c r="F12" s="67"/>
      <c r="G12" s="67"/>
      <c r="H12" s="67"/>
      <c r="I12" s="79">
        <v>1</v>
      </c>
      <c r="J12" s="80">
        <f>[1]合同附件!E10*(100-2)%</f>
        <v>73.5</v>
      </c>
      <c r="K12" s="67"/>
      <c r="L12" s="80">
        <f t="shared" ref="L12:L20" si="0">E12*J12</f>
        <v>267459.885</v>
      </c>
    </row>
    <row r="13" ht="30" customHeight="1" spans="1:12">
      <c r="A13" s="65"/>
      <c r="B13" s="64">
        <v>7</v>
      </c>
      <c r="C13" s="72" t="s">
        <v>24</v>
      </c>
      <c r="D13" s="69" t="s">
        <v>23</v>
      </c>
      <c r="E13" s="70">
        <v>1511.39</v>
      </c>
      <c r="F13" s="67"/>
      <c r="G13" s="67"/>
      <c r="H13" s="67"/>
      <c r="I13" s="79">
        <v>1</v>
      </c>
      <c r="J13" s="80">
        <f>[1]合同附件!E11*(100-2)%</f>
        <v>42.14</v>
      </c>
      <c r="K13" s="67"/>
      <c r="L13" s="80">
        <f t="shared" si="0"/>
        <v>63689.9746</v>
      </c>
    </row>
    <row r="14" ht="30" customHeight="1" spans="1:12">
      <c r="A14" s="65"/>
      <c r="B14" s="64">
        <v>8</v>
      </c>
      <c r="C14" s="72" t="s">
        <v>25</v>
      </c>
      <c r="D14" s="69" t="s">
        <v>23</v>
      </c>
      <c r="E14" s="70">
        <v>2037.98</v>
      </c>
      <c r="F14" s="67"/>
      <c r="G14" s="67"/>
      <c r="H14" s="67"/>
      <c r="I14" s="79">
        <v>1</v>
      </c>
      <c r="J14" s="80">
        <f>[1]合同附件!E12*(100-2)%</f>
        <v>42.14</v>
      </c>
      <c r="K14" s="67"/>
      <c r="L14" s="80">
        <f t="shared" si="0"/>
        <v>85880.4772</v>
      </c>
    </row>
    <row r="15" ht="30" customHeight="1" spans="1:12">
      <c r="A15" s="65"/>
      <c r="B15" s="64">
        <v>9</v>
      </c>
      <c r="C15" s="72" t="s">
        <v>26</v>
      </c>
      <c r="D15" s="69" t="s">
        <v>23</v>
      </c>
      <c r="E15" s="70">
        <v>1087.72</v>
      </c>
      <c r="F15" s="67"/>
      <c r="G15" s="67"/>
      <c r="H15" s="67"/>
      <c r="I15" s="79">
        <v>1</v>
      </c>
      <c r="J15" s="81">
        <f>[1]合同附件!E13*(100-2)%</f>
        <v>42.14</v>
      </c>
      <c r="K15" s="67"/>
      <c r="L15" s="81">
        <f t="shared" si="0"/>
        <v>45836.5208</v>
      </c>
    </row>
    <row r="16" ht="24.75" customHeight="1" spans="1:12">
      <c r="A16" s="65"/>
      <c r="B16" s="64">
        <v>10</v>
      </c>
      <c r="C16" s="66" t="s">
        <v>27</v>
      </c>
      <c r="D16" s="69" t="s">
        <v>28</v>
      </c>
      <c r="E16" s="70">
        <v>5201.36</v>
      </c>
      <c r="F16" s="67"/>
      <c r="G16" s="67"/>
      <c r="H16" s="67"/>
      <c r="I16" s="79">
        <v>1</v>
      </c>
      <c r="J16" s="80">
        <f>[1]合同附件!E14*(100-2)%</f>
        <v>5.39</v>
      </c>
      <c r="K16" s="67"/>
      <c r="L16" s="80">
        <f t="shared" si="0"/>
        <v>28035.3304</v>
      </c>
    </row>
    <row r="17" ht="24" customHeight="1" spans="1:12">
      <c r="A17" s="65"/>
      <c r="B17" s="64">
        <v>11</v>
      </c>
      <c r="C17" s="66" t="s">
        <v>29</v>
      </c>
      <c r="D17" s="69" t="s">
        <v>30</v>
      </c>
      <c r="E17" s="70">
        <v>381.52</v>
      </c>
      <c r="F17" s="67"/>
      <c r="G17" s="67"/>
      <c r="H17" s="67"/>
      <c r="I17" s="79">
        <v>1</v>
      </c>
      <c r="J17" s="81">
        <f>[1]合同附件!E15*(100-2)%</f>
        <v>313.6</v>
      </c>
      <c r="K17" s="67"/>
      <c r="L17" s="81">
        <f t="shared" si="0"/>
        <v>119644.672</v>
      </c>
    </row>
    <row r="18" ht="30" customHeight="1" spans="1:12">
      <c r="A18" s="65"/>
      <c r="B18" s="64">
        <v>12</v>
      </c>
      <c r="C18" s="66" t="s">
        <v>31</v>
      </c>
      <c r="D18" s="69" t="s">
        <v>30</v>
      </c>
      <c r="E18" s="70">
        <v>12795</v>
      </c>
      <c r="F18" s="73"/>
      <c r="G18" s="73"/>
      <c r="H18" s="73"/>
      <c r="I18" s="79">
        <v>1</v>
      </c>
      <c r="J18" s="80">
        <f>[1]合同附件!E16*(100-2)%</f>
        <v>56.84</v>
      </c>
      <c r="K18" s="67"/>
      <c r="L18" s="80">
        <f t="shared" si="0"/>
        <v>727267.8</v>
      </c>
    </row>
    <row r="19" ht="30" customHeight="1" spans="1:12">
      <c r="A19" s="65"/>
      <c r="B19" s="64">
        <v>13</v>
      </c>
      <c r="C19" s="66" t="s">
        <v>32</v>
      </c>
      <c r="D19" s="69" t="s">
        <v>30</v>
      </c>
      <c r="E19" s="70">
        <v>6246</v>
      </c>
      <c r="F19" s="73"/>
      <c r="G19" s="73"/>
      <c r="H19" s="73"/>
      <c r="I19" s="79">
        <v>1</v>
      </c>
      <c r="J19" s="81">
        <f>[1]合同附件!E17*(100-2)%</f>
        <v>56.84</v>
      </c>
      <c r="K19" s="73"/>
      <c r="L19" s="81">
        <f t="shared" si="0"/>
        <v>355022.64</v>
      </c>
    </row>
    <row r="20" ht="30" customHeight="1" spans="1:12">
      <c r="A20" s="65"/>
      <c r="B20" s="64">
        <v>14</v>
      </c>
      <c r="C20" s="66" t="s">
        <v>33</v>
      </c>
      <c r="D20" s="69" t="s">
        <v>30</v>
      </c>
      <c r="E20" s="70">
        <v>992</v>
      </c>
      <c r="F20" s="73"/>
      <c r="G20" s="73"/>
      <c r="H20" s="73"/>
      <c r="I20" s="79">
        <v>1</v>
      </c>
      <c r="J20" s="80">
        <f>[1]合同附件!E18*(100-2)%</f>
        <v>56.84</v>
      </c>
      <c r="K20" s="73"/>
      <c r="L20" s="80">
        <f t="shared" si="0"/>
        <v>56385.28</v>
      </c>
    </row>
    <row r="21" ht="25.5" customHeight="1" spans="1:12">
      <c r="A21" s="64"/>
      <c r="B21" s="64"/>
      <c r="C21" s="74" t="s">
        <v>34</v>
      </c>
      <c r="D21" s="74"/>
      <c r="E21" s="74"/>
      <c r="F21" s="74"/>
      <c r="G21" s="74"/>
      <c r="H21" s="74"/>
      <c r="I21" s="74"/>
      <c r="J21" s="74"/>
      <c r="K21" s="74"/>
      <c r="L21" s="74"/>
    </row>
    <row r="22" ht="24" customHeight="1" spans="1:12">
      <c r="A22" s="67"/>
      <c r="B22" s="67"/>
      <c r="C22" s="59" t="s">
        <v>35</v>
      </c>
      <c r="D22" s="59"/>
      <c r="E22" s="59"/>
      <c r="F22" s="59"/>
      <c r="G22" s="59"/>
      <c r="H22" s="59"/>
      <c r="I22" s="59"/>
      <c r="J22" s="59"/>
      <c r="K22" s="59"/>
      <c r="L22" s="59"/>
    </row>
    <row r="23" ht="21" customHeight="1" spans="1:12">
      <c r="A23" s="67" t="s">
        <v>36</v>
      </c>
      <c r="B23" s="67"/>
      <c r="C23" s="75" t="s">
        <v>37</v>
      </c>
      <c r="D23" s="75"/>
      <c r="E23" s="75"/>
      <c r="F23" s="75"/>
      <c r="G23" s="75"/>
      <c r="H23" s="75"/>
      <c r="I23" s="75"/>
      <c r="J23" s="75"/>
      <c r="K23" s="75"/>
      <c r="L23" s="75"/>
    </row>
    <row r="24" ht="21.75" customHeight="1" spans="1:12">
      <c r="A24" s="67" t="s">
        <v>38</v>
      </c>
      <c r="B24" s="67"/>
      <c r="C24" s="75" t="s">
        <v>39</v>
      </c>
      <c r="D24" s="75"/>
      <c r="E24" s="75"/>
      <c r="F24" s="75"/>
      <c r="G24" s="75"/>
      <c r="H24" s="75"/>
      <c r="I24" s="75"/>
      <c r="J24" s="75"/>
      <c r="K24" s="75"/>
      <c r="L24" s="75"/>
    </row>
    <row r="25" ht="26.25" customHeight="1" spans="1:12">
      <c r="A25" s="64" t="s">
        <v>40</v>
      </c>
      <c r="B25" s="64"/>
      <c r="C25" s="76" t="s">
        <v>41</v>
      </c>
      <c r="D25" s="76"/>
      <c r="E25" s="76"/>
      <c r="F25" s="76"/>
      <c r="G25" s="76"/>
      <c r="H25" s="76"/>
      <c r="I25" s="76"/>
      <c r="J25" s="76"/>
      <c r="K25" s="76"/>
      <c r="L25" s="76"/>
    </row>
  </sheetData>
  <mergeCells count="21">
    <mergeCell ref="A1:L1"/>
    <mergeCell ref="A2:B2"/>
    <mergeCell ref="C2:L2"/>
    <mergeCell ref="A3:B3"/>
    <mergeCell ref="C3:L3"/>
    <mergeCell ref="A4:B4"/>
    <mergeCell ref="C4:L4"/>
    <mergeCell ref="A5:B5"/>
    <mergeCell ref="D5:E5"/>
    <mergeCell ref="F5:L5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6:A20"/>
  </mergeCells>
  <hyperlinks>
    <hyperlink ref="C15" r:id="rId1" display="80mm侧壁φ6  200钢筋网C20混凝土压顶制安"/>
    <hyperlink ref="C14" r:id="rId2" display="80mm侧壁φ6  200钢筋网C20混凝土斜面制安"/>
    <hyperlink ref="C13" r:id="rId3" display="80mm侧壁φ6  200钢筋网C20混凝土平面制安"/>
    <hyperlink ref="C12" r:id="rId4" display="100mm侧壁φ8  200钢筋网C20混凝土护壁制安"/>
  </hyperlinks>
  <pageMargins left="0.47244094488189" right="0.47244094488189" top="0.826771653543307" bottom="0.826771653543307" header="0.511811023622047" footer="0.511811023622047"/>
  <pageSetup paperSize="9" orientation="portrait" horizontalDpi="2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zoomScale="85" zoomScaleNormal="85" workbookViewId="0">
      <selection activeCell="M49" sqref="M49"/>
    </sheetView>
  </sheetViews>
  <sheetFormatPr defaultColWidth="9" defaultRowHeight="14.25"/>
  <cols>
    <col min="1" max="1" width="4.5" customWidth="1"/>
    <col min="2" max="2" width="8.625" customWidth="1"/>
    <col min="3" max="3" width="25.75" customWidth="1"/>
    <col min="4" max="4" width="5.5" customWidth="1"/>
    <col min="5" max="5" width="8.625" customWidth="1"/>
    <col min="6" max="6" width="0.25" hidden="1" customWidth="1"/>
    <col min="7" max="7" width="4.75" hidden="1" customWidth="1"/>
    <col min="8" max="8" width="4" hidden="1" customWidth="1"/>
    <col min="9" max="9" width="9.25" customWidth="1"/>
    <col min="10" max="10" width="13.375" customWidth="1"/>
    <col min="11" max="11" width="6.25" customWidth="1"/>
    <col min="12" max="12" width="32.25" customWidth="1"/>
  </cols>
  <sheetData>
    <row r="1" ht="47.2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1"/>
    </row>
    <row r="3" ht="30" customHeight="1" spans="1:12">
      <c r="A3" s="5" t="s">
        <v>2</v>
      </c>
      <c r="B3" s="6"/>
      <c r="C3" s="7"/>
      <c r="D3" s="8"/>
      <c r="E3" s="8"/>
      <c r="F3" s="8"/>
      <c r="G3" s="8"/>
      <c r="H3" s="8"/>
      <c r="I3" s="8"/>
      <c r="J3" s="8"/>
      <c r="K3" s="8"/>
      <c r="L3" s="42"/>
    </row>
    <row r="4" ht="30" customHeight="1" spans="1:12">
      <c r="A4" s="5" t="s">
        <v>3</v>
      </c>
      <c r="B4" s="6"/>
      <c r="C4" s="9"/>
      <c r="D4" s="9"/>
      <c r="E4" s="9"/>
      <c r="F4" s="9"/>
      <c r="G4" s="9"/>
      <c r="H4" s="9"/>
      <c r="I4" s="9"/>
      <c r="J4" s="9"/>
      <c r="K4" s="9"/>
      <c r="L4" s="43"/>
    </row>
    <row r="5" ht="30" customHeight="1" spans="1:12">
      <c r="A5" s="5" t="s">
        <v>4</v>
      </c>
      <c r="B5" s="6"/>
      <c r="C5" s="10"/>
      <c r="D5" s="5" t="s">
        <v>5</v>
      </c>
      <c r="E5" s="6"/>
      <c r="F5" s="11"/>
      <c r="G5" s="12"/>
      <c r="H5" s="12"/>
      <c r="I5" s="12"/>
      <c r="J5" s="12"/>
      <c r="K5" s="12"/>
      <c r="L5" s="44"/>
    </row>
    <row r="6" ht="45" customHeight="1" spans="1:12">
      <c r="A6" s="13" t="s">
        <v>7</v>
      </c>
      <c r="B6" s="14" t="s">
        <v>8</v>
      </c>
      <c r="C6" s="14" t="s">
        <v>9</v>
      </c>
      <c r="D6" s="14" t="s">
        <v>10</v>
      </c>
      <c r="E6" s="14" t="s">
        <v>11</v>
      </c>
      <c r="F6" s="14"/>
      <c r="G6" s="14"/>
      <c r="H6" s="14"/>
      <c r="I6" s="45" t="s">
        <v>12</v>
      </c>
      <c r="J6" s="14" t="s">
        <v>13</v>
      </c>
      <c r="K6" s="45" t="s">
        <v>14</v>
      </c>
      <c r="L6" s="46" t="s">
        <v>15</v>
      </c>
    </row>
    <row r="7" ht="30" customHeight="1" spans="1:12">
      <c r="A7" s="15"/>
      <c r="B7" s="16">
        <v>21</v>
      </c>
      <c r="C7" s="17" t="s">
        <v>42</v>
      </c>
      <c r="D7" s="18" t="s">
        <v>30</v>
      </c>
      <c r="E7" s="19">
        <f>102.69+142.67+69.83+115.09+73.47</f>
        <v>503.75</v>
      </c>
      <c r="F7" s="20"/>
      <c r="G7" s="20"/>
      <c r="H7" s="20"/>
      <c r="I7" s="20">
        <v>1</v>
      </c>
      <c r="J7" s="47">
        <f>[1]合同附件!E25*(100-2)%</f>
        <v>70.56</v>
      </c>
      <c r="K7" s="16"/>
      <c r="L7" s="48">
        <f>E7*J7</f>
        <v>35544.6</v>
      </c>
    </row>
    <row r="8" ht="30" customHeight="1" spans="1:12">
      <c r="A8" s="15"/>
      <c r="B8" s="14">
        <v>22</v>
      </c>
      <c r="C8" s="21" t="s">
        <v>43</v>
      </c>
      <c r="D8" s="22" t="s">
        <v>30</v>
      </c>
      <c r="E8" s="22">
        <f>87.8+131.21+69.83+46.49+61.46+63.88</f>
        <v>460.67</v>
      </c>
      <c r="F8" s="14"/>
      <c r="G8" s="14"/>
      <c r="H8" s="14"/>
      <c r="I8" s="14">
        <v>1</v>
      </c>
      <c r="J8" s="49">
        <f>[1]合同附件!E26*(100-2)%</f>
        <v>58.8</v>
      </c>
      <c r="K8" s="14"/>
      <c r="L8" s="50">
        <f t="shared" ref="L8:L26" si="0">E8*J8</f>
        <v>27087.396</v>
      </c>
    </row>
    <row r="9" ht="30" customHeight="1" spans="1:12">
      <c r="A9" s="15"/>
      <c r="B9" s="16">
        <v>23</v>
      </c>
      <c r="C9" s="17" t="s">
        <v>44</v>
      </c>
      <c r="D9" s="18"/>
      <c r="E9" s="18"/>
      <c r="F9" s="20"/>
      <c r="G9" s="20"/>
      <c r="H9" s="20"/>
      <c r="I9" s="20"/>
      <c r="J9" s="47"/>
      <c r="K9" s="16"/>
      <c r="L9" s="48"/>
    </row>
    <row r="10" ht="30" customHeight="1" spans="1:12">
      <c r="A10" s="15"/>
      <c r="B10" s="14">
        <v>24</v>
      </c>
      <c r="C10" s="23" t="s">
        <v>45</v>
      </c>
      <c r="D10" s="24" t="s">
        <v>18</v>
      </c>
      <c r="E10" s="24">
        <f>90*0.5*0.5*3.14*(18-0.8)</f>
        <v>1215.18</v>
      </c>
      <c r="F10" s="14"/>
      <c r="G10" s="14"/>
      <c r="H10" s="14"/>
      <c r="I10" s="14">
        <v>1</v>
      </c>
      <c r="J10" s="49">
        <f>[1]合同附件!E28*(100-2)%</f>
        <v>882</v>
      </c>
      <c r="K10" s="14"/>
      <c r="L10" s="50">
        <f t="shared" si="0"/>
        <v>1071788.76</v>
      </c>
    </row>
    <row r="11" ht="30" customHeight="1" spans="1:12">
      <c r="A11" s="15"/>
      <c r="B11" s="16">
        <v>25</v>
      </c>
      <c r="C11" s="17" t="s">
        <v>46</v>
      </c>
      <c r="D11" s="18" t="s">
        <v>28</v>
      </c>
      <c r="E11" s="18">
        <f>90*(23*19*2.468)</f>
        <v>97066.44</v>
      </c>
      <c r="F11" s="20"/>
      <c r="G11" s="20"/>
      <c r="H11" s="20"/>
      <c r="I11" s="20">
        <v>1</v>
      </c>
      <c r="J11" s="47">
        <f>[1]合同附件!E29*(100-2)%</f>
        <v>5.39</v>
      </c>
      <c r="K11" s="16"/>
      <c r="L11" s="48">
        <f t="shared" si="0"/>
        <v>523188.1116</v>
      </c>
    </row>
    <row r="12" ht="30" customHeight="1" spans="1:12">
      <c r="A12" s="15"/>
      <c r="B12" s="14">
        <v>26</v>
      </c>
      <c r="C12" s="25" t="s">
        <v>47</v>
      </c>
      <c r="D12" s="24" t="s">
        <v>28</v>
      </c>
      <c r="E12" s="26">
        <f>90*114*3.45*0.888</f>
        <v>31432.536</v>
      </c>
      <c r="F12" s="14"/>
      <c r="G12" s="14"/>
      <c r="H12" s="14"/>
      <c r="I12" s="14">
        <v>1</v>
      </c>
      <c r="J12" s="49">
        <f>[1]合同附件!E30*(100-2)%</f>
        <v>5.39</v>
      </c>
      <c r="K12" s="14"/>
      <c r="L12" s="50">
        <f t="shared" si="0"/>
        <v>169421.36904</v>
      </c>
    </row>
    <row r="13" ht="30" customHeight="1" spans="1:12">
      <c r="A13" s="15"/>
      <c r="B13" s="16">
        <v>27</v>
      </c>
      <c r="C13" s="17" t="s">
        <v>48</v>
      </c>
      <c r="D13" s="18" t="s">
        <v>28</v>
      </c>
      <c r="E13" s="18">
        <f>90*9*3.2*1.58</f>
        <v>4095.36</v>
      </c>
      <c r="F13" s="20"/>
      <c r="G13" s="20"/>
      <c r="H13" s="20"/>
      <c r="I13" s="20">
        <v>1</v>
      </c>
      <c r="J13" s="47">
        <f>[1]合同附件!E31*(100-2)%</f>
        <v>5.39</v>
      </c>
      <c r="K13" s="16"/>
      <c r="L13" s="48">
        <f t="shared" si="0"/>
        <v>22073.9904</v>
      </c>
    </row>
    <row r="14" ht="30" customHeight="1" spans="1:12">
      <c r="A14" s="15"/>
      <c r="B14" s="14">
        <v>28</v>
      </c>
      <c r="C14" s="23" t="s">
        <v>49</v>
      </c>
      <c r="D14" s="24"/>
      <c r="E14" s="24"/>
      <c r="F14" s="14"/>
      <c r="G14" s="14"/>
      <c r="H14" s="14"/>
      <c r="I14" s="14"/>
      <c r="J14" s="49"/>
      <c r="K14" s="14"/>
      <c r="L14" s="50"/>
    </row>
    <row r="15" ht="30" customHeight="1" spans="1:12">
      <c r="A15" s="15"/>
      <c r="B15" s="16">
        <v>29</v>
      </c>
      <c r="C15" s="17" t="s">
        <v>50</v>
      </c>
      <c r="D15" s="18" t="s">
        <v>18</v>
      </c>
      <c r="E15" s="18">
        <f>0.8*5*63.88</f>
        <v>255.52</v>
      </c>
      <c r="F15" s="20"/>
      <c r="G15" s="20"/>
      <c r="H15" s="20"/>
      <c r="I15" s="20">
        <v>1</v>
      </c>
      <c r="J15" s="47">
        <f>[1]合同附件!E33*(100-2)%</f>
        <v>833</v>
      </c>
      <c r="K15" s="16"/>
      <c r="L15" s="48">
        <f t="shared" si="0"/>
        <v>212848.16</v>
      </c>
    </row>
    <row r="16" ht="30" customHeight="1" spans="1:12">
      <c r="A16" s="15"/>
      <c r="B16" s="14">
        <v>30</v>
      </c>
      <c r="C16" s="23" t="s">
        <v>51</v>
      </c>
      <c r="D16" s="24" t="s">
        <v>28</v>
      </c>
      <c r="E16" s="24">
        <f>20*63.88*3.85</f>
        <v>4918.76</v>
      </c>
      <c r="F16" s="14"/>
      <c r="G16" s="14"/>
      <c r="H16" s="14"/>
      <c r="I16" s="14">
        <v>1</v>
      </c>
      <c r="J16" s="49">
        <f>[1]合同附件!E34*(100-2)%</f>
        <v>5.39</v>
      </c>
      <c r="K16" s="14"/>
      <c r="L16" s="50">
        <f t="shared" si="0"/>
        <v>26512.1164</v>
      </c>
    </row>
    <row r="17" ht="30" customHeight="1" spans="1:12">
      <c r="A17" s="15"/>
      <c r="B17" s="16">
        <v>31</v>
      </c>
      <c r="C17" s="17" t="s">
        <v>52</v>
      </c>
      <c r="D17" s="18" t="s">
        <v>28</v>
      </c>
      <c r="E17" s="18">
        <f>16*63.88*1.58</f>
        <v>1614.8864</v>
      </c>
      <c r="F17" s="20"/>
      <c r="G17" s="20"/>
      <c r="H17" s="20"/>
      <c r="I17" s="20">
        <v>1</v>
      </c>
      <c r="J17" s="47">
        <f>[1]合同附件!E35*(100-2)%</f>
        <v>5.39</v>
      </c>
      <c r="K17" s="16"/>
      <c r="L17" s="48">
        <f t="shared" si="0"/>
        <v>8704.237696</v>
      </c>
    </row>
    <row r="18" ht="30" customHeight="1" spans="1:12">
      <c r="A18" s="15"/>
      <c r="B18" s="14">
        <v>32</v>
      </c>
      <c r="C18" s="23" t="s">
        <v>53</v>
      </c>
      <c r="D18" s="24" t="s">
        <v>28</v>
      </c>
      <c r="E18" s="24">
        <f>40*63.88*1.21</f>
        <v>3091.792</v>
      </c>
      <c r="F18" s="14"/>
      <c r="G18" s="14"/>
      <c r="H18" s="14"/>
      <c r="I18" s="14">
        <v>1</v>
      </c>
      <c r="J18" s="49">
        <f>[1]合同附件!E36*(100-2)%</f>
        <v>5.39</v>
      </c>
      <c r="K18" s="14"/>
      <c r="L18" s="50">
        <f t="shared" si="0"/>
        <v>16664.75888</v>
      </c>
    </row>
    <row r="19" ht="30" customHeight="1" spans="1:12">
      <c r="A19" s="15"/>
      <c r="B19" s="16">
        <v>33</v>
      </c>
      <c r="C19" s="27" t="s">
        <v>54</v>
      </c>
      <c r="D19" s="18" t="s">
        <v>28</v>
      </c>
      <c r="E19" s="18">
        <f>532*2*4.5*2.468</f>
        <v>11816.784</v>
      </c>
      <c r="F19" s="20"/>
      <c r="G19" s="20"/>
      <c r="H19" s="20"/>
      <c r="I19" s="20">
        <v>1</v>
      </c>
      <c r="J19" s="47">
        <f>[1]合同附件!E37*(100-2)%</f>
        <v>5.39</v>
      </c>
      <c r="K19" s="16"/>
      <c r="L19" s="48">
        <f t="shared" si="0"/>
        <v>63692.46576</v>
      </c>
    </row>
    <row r="20" ht="30" customHeight="1" spans="1:12">
      <c r="A20" s="15"/>
      <c r="B20" s="14">
        <v>34</v>
      </c>
      <c r="C20" s="25" t="s">
        <v>47</v>
      </c>
      <c r="D20" s="24" t="s">
        <v>28</v>
      </c>
      <c r="E20" s="24">
        <f>425*2*6*0.888</f>
        <v>4528.8</v>
      </c>
      <c r="F20" s="14"/>
      <c r="G20" s="14"/>
      <c r="H20" s="14"/>
      <c r="I20" s="14">
        <v>1</v>
      </c>
      <c r="J20" s="49">
        <f>[1]合同附件!E38*(100-2)%</f>
        <v>5.39</v>
      </c>
      <c r="K20" s="14"/>
      <c r="L20" s="50">
        <f t="shared" si="0"/>
        <v>24410.232</v>
      </c>
    </row>
    <row r="21" ht="30" customHeight="1" spans="1:12">
      <c r="A21" s="15"/>
      <c r="B21" s="16">
        <v>35</v>
      </c>
      <c r="C21" s="17" t="s">
        <v>55</v>
      </c>
      <c r="D21" s="18" t="s">
        <v>23</v>
      </c>
      <c r="E21" s="18">
        <f>63.88*0.8</f>
        <v>51.104</v>
      </c>
      <c r="F21" s="28"/>
      <c r="G21" s="28"/>
      <c r="H21" s="28"/>
      <c r="I21" s="20">
        <v>1</v>
      </c>
      <c r="J21" s="47">
        <f>[1]合同附件!E39*(100-2)%</f>
        <v>39.2</v>
      </c>
      <c r="K21" s="51"/>
      <c r="L21" s="48">
        <f t="shared" si="0"/>
        <v>2003.2768</v>
      </c>
    </row>
    <row r="22" ht="30" customHeight="1" spans="1:12">
      <c r="A22" s="15"/>
      <c r="B22" s="14">
        <v>36</v>
      </c>
      <c r="C22" s="23" t="s">
        <v>56</v>
      </c>
      <c r="D22" s="24"/>
      <c r="E22" s="26"/>
      <c r="F22" s="29"/>
      <c r="G22" s="29"/>
      <c r="H22" s="29"/>
      <c r="I22" s="14"/>
      <c r="J22" s="49"/>
      <c r="K22" s="29"/>
      <c r="L22" s="50"/>
    </row>
    <row r="23" ht="30" customHeight="1" spans="1:12">
      <c r="A23" s="15"/>
      <c r="B23" s="16">
        <v>37</v>
      </c>
      <c r="C23" s="17" t="s">
        <v>57</v>
      </c>
      <c r="D23" s="18" t="s">
        <v>58</v>
      </c>
      <c r="E23" s="19">
        <v>20</v>
      </c>
      <c r="F23" s="28"/>
      <c r="G23" s="28"/>
      <c r="H23" s="28"/>
      <c r="I23" s="20">
        <v>1</v>
      </c>
      <c r="J23" s="47">
        <f>[1]合同附件!E41*(100-2)%</f>
        <v>1078</v>
      </c>
      <c r="K23" s="51"/>
      <c r="L23" s="48">
        <f t="shared" si="0"/>
        <v>21560</v>
      </c>
    </row>
    <row r="24" ht="30" customHeight="1" spans="1:12">
      <c r="A24" s="15"/>
      <c r="B24" s="14">
        <v>38</v>
      </c>
      <c r="C24" s="23" t="s">
        <v>59</v>
      </c>
      <c r="D24" s="24" t="s">
        <v>58</v>
      </c>
      <c r="E24" s="26">
        <v>18</v>
      </c>
      <c r="F24" s="29"/>
      <c r="G24" s="29"/>
      <c r="H24" s="29"/>
      <c r="I24" s="14">
        <v>1</v>
      </c>
      <c r="J24" s="49">
        <f>[1]合同附件!E42*(100-2)%</f>
        <v>2450</v>
      </c>
      <c r="K24" s="29"/>
      <c r="L24" s="50">
        <f t="shared" si="0"/>
        <v>44100</v>
      </c>
    </row>
    <row r="25" ht="30" customHeight="1" spans="1:12">
      <c r="A25" s="15"/>
      <c r="B25" s="16">
        <v>39</v>
      </c>
      <c r="C25" s="17" t="s">
        <v>60</v>
      </c>
      <c r="D25" s="18" t="s">
        <v>58</v>
      </c>
      <c r="E25" s="19">
        <v>16</v>
      </c>
      <c r="F25" s="28"/>
      <c r="G25" s="28"/>
      <c r="H25" s="28"/>
      <c r="I25" s="20">
        <v>1</v>
      </c>
      <c r="J25" s="47">
        <f>[1]合同附件!E43*(100-2)%</f>
        <v>784</v>
      </c>
      <c r="K25" s="51"/>
      <c r="L25" s="48">
        <f t="shared" si="0"/>
        <v>12544</v>
      </c>
    </row>
    <row r="26" ht="30" customHeight="1" spans="1:12">
      <c r="A26" s="30"/>
      <c r="B26" s="14">
        <v>40</v>
      </c>
      <c r="C26" s="23" t="s">
        <v>61</v>
      </c>
      <c r="D26" s="24" t="s">
        <v>58</v>
      </c>
      <c r="E26" s="26">
        <v>5</v>
      </c>
      <c r="F26" s="29"/>
      <c r="G26" s="29"/>
      <c r="H26" s="29"/>
      <c r="I26" s="14">
        <v>1</v>
      </c>
      <c r="J26" s="49">
        <f>[1]合同附件!E44*(100-2)%</f>
        <v>0</v>
      </c>
      <c r="K26" s="29"/>
      <c r="L26" s="50">
        <f t="shared" si="0"/>
        <v>0</v>
      </c>
    </row>
    <row r="27" ht="30" customHeight="1" spans="1:12">
      <c r="A27" s="31"/>
      <c r="B27" s="32"/>
      <c r="C27" s="7" t="s">
        <v>62</v>
      </c>
      <c r="D27" s="8"/>
      <c r="E27" s="8"/>
      <c r="F27" s="8"/>
      <c r="G27" s="8"/>
      <c r="H27" s="8"/>
      <c r="I27" s="8"/>
      <c r="J27" s="8"/>
      <c r="K27" s="8"/>
      <c r="L27" s="42"/>
    </row>
    <row r="28" ht="30" customHeight="1" spans="1:12">
      <c r="A28" s="31"/>
      <c r="B28" s="32"/>
      <c r="C28" s="7" t="s">
        <v>35</v>
      </c>
      <c r="D28" s="8"/>
      <c r="E28" s="8"/>
      <c r="F28" s="8"/>
      <c r="G28" s="8"/>
      <c r="H28" s="8"/>
      <c r="I28" s="8"/>
      <c r="J28" s="8"/>
      <c r="K28" s="8"/>
      <c r="L28" s="42"/>
    </row>
    <row r="29" ht="63.75" customHeight="1" spans="1:12">
      <c r="A29" s="33" t="s">
        <v>36</v>
      </c>
      <c r="B29" s="34"/>
      <c r="C29" s="35" t="s">
        <v>37</v>
      </c>
      <c r="D29" s="36"/>
      <c r="E29" s="36"/>
      <c r="F29" s="36"/>
      <c r="G29" s="36"/>
      <c r="H29" s="36"/>
      <c r="I29" s="36"/>
      <c r="J29" s="36"/>
      <c r="K29" s="36"/>
      <c r="L29" s="52"/>
    </row>
    <row r="30" ht="72" customHeight="1" spans="1:12">
      <c r="A30" s="5" t="s">
        <v>38</v>
      </c>
      <c r="B30" s="6"/>
      <c r="C30" s="35" t="s">
        <v>39</v>
      </c>
      <c r="D30" s="36"/>
      <c r="E30" s="36"/>
      <c r="F30" s="36"/>
      <c r="G30" s="36"/>
      <c r="H30" s="36"/>
      <c r="I30" s="36"/>
      <c r="J30" s="36"/>
      <c r="K30" s="36"/>
      <c r="L30" s="52"/>
    </row>
    <row r="31" ht="77.25" customHeight="1" spans="1:12">
      <c r="A31" s="37" t="s">
        <v>40</v>
      </c>
      <c r="B31" s="38"/>
      <c r="C31" s="39" t="s">
        <v>41</v>
      </c>
      <c r="D31" s="40"/>
      <c r="E31" s="40"/>
      <c r="F31" s="40"/>
      <c r="G31" s="40"/>
      <c r="H31" s="40"/>
      <c r="I31" s="40"/>
      <c r="J31" s="40"/>
      <c r="K31" s="40"/>
      <c r="L31" s="53"/>
    </row>
  </sheetData>
  <mergeCells count="21">
    <mergeCell ref="A1:L1"/>
    <mergeCell ref="A2:B2"/>
    <mergeCell ref="C2:L2"/>
    <mergeCell ref="A3:B3"/>
    <mergeCell ref="C3:L3"/>
    <mergeCell ref="A4:B4"/>
    <mergeCell ref="C4:L4"/>
    <mergeCell ref="A5:B5"/>
    <mergeCell ref="D5:E5"/>
    <mergeCell ref="F5:L5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6:A26"/>
  </mergeCells>
  <pageMargins left="0.98" right="0.49" top="0.52" bottom="0.78" header="0.5" footer="0.5"/>
  <pageSetup paperSize="9" scale="68" orientation="portrait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小Q办公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www.xqppt.com</dc:title>
  <dc:creator>zhuoyue</dc:creator>
  <cp:lastModifiedBy>拖鞋</cp:lastModifiedBy>
  <cp:revision>1</cp:revision>
  <dcterms:created xsi:type="dcterms:W3CDTF">2012-04-10T13:26:00Z</dcterms:created>
  <cp:lastPrinted>2018-06-07T14:40:00Z</cp:lastPrinted>
  <dcterms:modified xsi:type="dcterms:W3CDTF">2020-06-28T14:54:06Z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