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00.xml" ContentType="application/vnd.openxmlformats-officedocument.spreadsheetml.externalLink+xml"/>
  <Override PartName="/xl/externalLinks/externalLink101.xml" ContentType="application/vnd.openxmlformats-officedocument.spreadsheetml.externalLink+xml"/>
  <Override PartName="/xl/externalLinks/externalLink102.xml" ContentType="application/vnd.openxmlformats-officedocument.spreadsheetml.externalLink+xml"/>
  <Override PartName="/xl/externalLinks/externalLink103.xml" ContentType="application/vnd.openxmlformats-officedocument.spreadsheetml.externalLink+xml"/>
  <Override PartName="/xl/externalLinks/externalLink104.xml" ContentType="application/vnd.openxmlformats-officedocument.spreadsheetml.externalLink+xml"/>
  <Override PartName="/xl/externalLinks/externalLink105.xml" ContentType="application/vnd.openxmlformats-officedocument.spreadsheetml.externalLink+xml"/>
  <Override PartName="/xl/externalLinks/externalLink106.xml" ContentType="application/vnd.openxmlformats-officedocument.spreadsheetml.externalLink+xml"/>
  <Override PartName="/xl/externalLinks/externalLink107.xml" ContentType="application/vnd.openxmlformats-officedocument.spreadsheetml.externalLink+xml"/>
  <Override PartName="/xl/externalLinks/externalLink108.xml" ContentType="application/vnd.openxmlformats-officedocument.spreadsheetml.externalLink+xml"/>
  <Override PartName="/xl/externalLinks/externalLink109.xml" ContentType="application/vnd.openxmlformats-officedocument.spreadsheetml.externalLink+xml"/>
  <Override PartName="/xl/externalLinks/externalLink11.xml" ContentType="application/vnd.openxmlformats-officedocument.spreadsheetml.externalLink+xml"/>
  <Override PartName="/xl/externalLinks/externalLink110.xml" ContentType="application/vnd.openxmlformats-officedocument.spreadsheetml.externalLink+xml"/>
  <Override PartName="/xl/externalLinks/externalLink111.xml" ContentType="application/vnd.openxmlformats-officedocument.spreadsheetml.externalLink+xml"/>
  <Override PartName="/xl/externalLinks/externalLink112.xml" ContentType="application/vnd.openxmlformats-officedocument.spreadsheetml.externalLink+xml"/>
  <Override PartName="/xl/externalLinks/externalLink113.xml" ContentType="application/vnd.openxmlformats-officedocument.spreadsheetml.externalLink+xml"/>
  <Override PartName="/xl/externalLinks/externalLink114.xml" ContentType="application/vnd.openxmlformats-officedocument.spreadsheetml.externalLink+xml"/>
  <Override PartName="/xl/externalLinks/externalLink115.xml" ContentType="application/vnd.openxmlformats-officedocument.spreadsheetml.externalLink+xml"/>
  <Override PartName="/xl/externalLinks/externalLink116.xml" ContentType="application/vnd.openxmlformats-officedocument.spreadsheetml.externalLink+xml"/>
  <Override PartName="/xl/externalLinks/externalLink117.xml" ContentType="application/vnd.openxmlformats-officedocument.spreadsheetml.externalLink+xml"/>
  <Override PartName="/xl/externalLinks/externalLink118.xml" ContentType="application/vnd.openxmlformats-officedocument.spreadsheetml.externalLink+xml"/>
  <Override PartName="/xl/externalLinks/externalLink119.xml" ContentType="application/vnd.openxmlformats-officedocument.spreadsheetml.externalLink+xml"/>
  <Override PartName="/xl/externalLinks/externalLink12.xml" ContentType="application/vnd.openxmlformats-officedocument.spreadsheetml.externalLink+xml"/>
  <Override PartName="/xl/externalLinks/externalLink120.xml" ContentType="application/vnd.openxmlformats-officedocument.spreadsheetml.externalLink+xml"/>
  <Override PartName="/xl/externalLinks/externalLink121.xml" ContentType="application/vnd.openxmlformats-officedocument.spreadsheetml.externalLink+xml"/>
  <Override PartName="/xl/externalLinks/externalLink122.xml" ContentType="application/vnd.openxmlformats-officedocument.spreadsheetml.externalLink+xml"/>
  <Override PartName="/xl/externalLinks/externalLink123.xml" ContentType="application/vnd.openxmlformats-officedocument.spreadsheetml.externalLink+xml"/>
  <Override PartName="/xl/externalLinks/externalLink124.xml" ContentType="application/vnd.openxmlformats-officedocument.spreadsheetml.externalLink+xml"/>
  <Override PartName="/xl/externalLinks/externalLink125.xml" ContentType="application/vnd.openxmlformats-officedocument.spreadsheetml.externalLink+xml"/>
  <Override PartName="/xl/externalLinks/externalLink126.xml" ContentType="application/vnd.openxmlformats-officedocument.spreadsheetml.externalLink+xml"/>
  <Override PartName="/xl/externalLinks/externalLink127.xml" ContentType="application/vnd.openxmlformats-officedocument.spreadsheetml.externalLink+xml"/>
  <Override PartName="/xl/externalLinks/externalLink128.xml" ContentType="application/vnd.openxmlformats-officedocument.spreadsheetml.externalLink+xml"/>
  <Override PartName="/xl/externalLinks/externalLink129.xml" ContentType="application/vnd.openxmlformats-officedocument.spreadsheetml.externalLink+xml"/>
  <Override PartName="/xl/externalLinks/externalLink13.xml" ContentType="application/vnd.openxmlformats-officedocument.spreadsheetml.externalLink+xml"/>
  <Override PartName="/xl/externalLinks/externalLink130.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xml" ContentType="application/vnd.openxmlformats-officedocument.spreadsheetml.externalLink+xml"/>
  <Override PartName="/xl/externalLinks/externalLink90.xml" ContentType="application/vnd.openxmlformats-officedocument.spreadsheetml.externalLink+xml"/>
  <Override PartName="/xl/externalLinks/externalLink91.xml" ContentType="application/vnd.openxmlformats-officedocument.spreadsheetml.externalLink+xml"/>
  <Override PartName="/xl/externalLinks/externalLink92.xml" ContentType="application/vnd.openxmlformats-officedocument.spreadsheetml.externalLink+xml"/>
  <Override PartName="/xl/externalLinks/externalLink93.xml" ContentType="application/vnd.openxmlformats-officedocument.spreadsheetml.externalLink+xml"/>
  <Override PartName="/xl/externalLinks/externalLink94.xml" ContentType="application/vnd.openxmlformats-officedocument.spreadsheetml.externalLink+xml"/>
  <Override PartName="/xl/externalLinks/externalLink95.xml" ContentType="application/vnd.openxmlformats-officedocument.spreadsheetml.externalLink+xml"/>
  <Override PartName="/xl/externalLinks/externalLink96.xml" ContentType="application/vnd.openxmlformats-officedocument.spreadsheetml.externalLink+xml"/>
  <Override PartName="/xl/externalLinks/externalLink97.xml" ContentType="application/vnd.openxmlformats-officedocument.spreadsheetml.externalLink+xml"/>
  <Override PartName="/xl/externalLinks/externalLink98.xml" ContentType="application/vnd.openxmlformats-officedocument.spreadsheetml.externalLink+xml"/>
  <Override PartName="/xl/externalLinks/externalLink9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225" windowHeight="12090" firstSheet="4" activeTab="4"/>
  </bookViews>
  <sheets>
    <sheet name="7月" sheetId="8" state="hidden" r:id="rId1"/>
    <sheet name="8月" sheetId="9" state="hidden" r:id="rId2"/>
    <sheet name="9月" sheetId="11" state="hidden" r:id="rId3"/>
    <sheet name="10月" sheetId="12" state="hidden" r:id="rId4"/>
    <sheet name="Sheet2" sheetId="21" r:id="rId5"/>
    <sheet name="Sheet3" sheetId="22" r:id="rId6"/>
    <sheet name="充值收入" sheetId="14" state="hidden"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 r:id="rId116"/>
    <externalReference r:id="rId117"/>
    <externalReference r:id="rId118"/>
    <externalReference r:id="rId119"/>
    <externalReference r:id="rId120"/>
    <externalReference r:id="rId121"/>
    <externalReference r:id="rId122"/>
    <externalReference r:id="rId123"/>
    <externalReference r:id="rId124"/>
    <externalReference r:id="rId125"/>
    <externalReference r:id="rId126"/>
    <externalReference r:id="rId127"/>
    <externalReference r:id="rId128"/>
    <externalReference r:id="rId129"/>
    <externalReference r:id="rId130"/>
    <externalReference r:id="rId131"/>
    <externalReference r:id="rId132"/>
    <externalReference r:id="rId133"/>
    <externalReference r:id="rId134"/>
    <externalReference r:id="rId135"/>
    <externalReference r:id="rId136"/>
    <externalReference r:id="rId137"/>
  </externalReferences>
  <definedNames>
    <definedName name="_xlnm._FilterDatabase" localSheetId="0" hidden="1">'7月'!$A$1:$Y$124</definedName>
    <definedName name="_xlnm._FilterDatabase" localSheetId="1" hidden="1">'8月'!$A$1:$K$210</definedName>
    <definedName name="_xlnm._FilterDatabase" localSheetId="2" hidden="1">'9月'!$A$1:$K$210</definedName>
    <definedName name="_xlnm._FilterDatabase" localSheetId="3" hidden="1">'10月'!$A$1:$K$227</definedName>
    <definedName name="_xlnm._FilterDatabase" localSheetId="6" hidden="1">充值收入!$A$1:$F$128</definedName>
  </definedNames>
  <calcPr calcId="144525"/>
</workbook>
</file>

<file path=xl/comments1.xml><?xml version="1.0" encoding="utf-8"?>
<comments xmlns="http://schemas.openxmlformats.org/spreadsheetml/2006/main">
  <authors>
    <author>Administrator</author>
  </authors>
  <commentList>
    <comment ref="G206" authorId="0">
      <text>
        <r>
          <rPr>
            <b/>
            <sz val="9"/>
            <rFont val="宋体"/>
            <charset val="134"/>
          </rPr>
          <t>Administrator:</t>
        </r>
        <r>
          <rPr>
            <sz val="9"/>
            <rFont val="宋体"/>
            <charset val="134"/>
          </rPr>
          <t xml:space="preserve">
115</t>
        </r>
      </text>
    </comment>
  </commentList>
</comments>
</file>

<file path=xl/comments2.xml><?xml version="1.0" encoding="utf-8"?>
<comments xmlns="http://schemas.openxmlformats.org/spreadsheetml/2006/main">
  <authors>
    <author>Administrator</author>
  </authors>
  <commentList>
    <comment ref="G3" authorId="0">
      <text>
        <r>
          <rPr>
            <b/>
            <sz val="9"/>
            <rFont val="宋体"/>
            <charset val="134"/>
          </rPr>
          <t>Administrator:</t>
        </r>
        <r>
          <rPr>
            <sz val="9"/>
            <rFont val="宋体"/>
            <charset val="134"/>
          </rPr>
          <t xml:space="preserve">
59</t>
        </r>
      </text>
    </comment>
    <comment ref="G4" authorId="0">
      <text>
        <r>
          <rPr>
            <b/>
            <sz val="9"/>
            <rFont val="宋体"/>
            <charset val="134"/>
          </rPr>
          <t>Administrator:</t>
        </r>
        <r>
          <rPr>
            <sz val="9"/>
            <rFont val="宋体"/>
            <charset val="134"/>
          </rPr>
          <t xml:space="preserve">
39</t>
        </r>
      </text>
    </comment>
  </commentList>
</comments>
</file>

<file path=xl/comments3.xml><?xml version="1.0" encoding="utf-8"?>
<comments xmlns="http://schemas.openxmlformats.org/spreadsheetml/2006/main">
  <authors>
    <author>Administrator</author>
  </authors>
  <commentList>
    <comment ref="E19" authorId="0">
      <text>
        <r>
          <rPr>
            <b/>
            <sz val="9"/>
            <rFont val="宋体"/>
            <charset val="134"/>
          </rPr>
          <t>Administrator:</t>
        </r>
        <r>
          <rPr>
            <sz val="9"/>
            <rFont val="宋体"/>
            <charset val="134"/>
          </rPr>
          <t xml:space="preserve">
小杰自己转</t>
        </r>
      </text>
    </comment>
  </commentList>
</comments>
</file>

<file path=xl/sharedStrings.xml><?xml version="1.0" encoding="utf-8"?>
<sst xmlns="http://schemas.openxmlformats.org/spreadsheetml/2006/main" count="2824" uniqueCount="116">
  <si>
    <t>日期</t>
  </si>
  <si>
    <t>使用者</t>
  </si>
  <si>
    <t>卡号</t>
  </si>
  <si>
    <t>开始金额</t>
  </si>
  <si>
    <t>充值收入</t>
  </si>
  <si>
    <t>提现收入</t>
  </si>
  <si>
    <t>银行卡支出</t>
  </si>
  <si>
    <t xml:space="preserve">结束金额 </t>
  </si>
  <si>
    <t>登记金额</t>
  </si>
  <si>
    <t>差异金额</t>
  </si>
  <si>
    <t>备注</t>
  </si>
  <si>
    <t>晓杰</t>
  </si>
  <si>
    <t>建设5392</t>
  </si>
  <si>
    <t>成毓</t>
  </si>
  <si>
    <t>农业7079</t>
  </si>
  <si>
    <t>小伟</t>
  </si>
  <si>
    <t>邮政6176</t>
  </si>
  <si>
    <t>时间差</t>
  </si>
  <si>
    <t>银珊</t>
  </si>
  <si>
    <t>邮政0712</t>
  </si>
  <si>
    <t>民生5903</t>
  </si>
  <si>
    <t>39是退回</t>
  </si>
  <si>
    <t>49是退款</t>
  </si>
  <si>
    <t>39是补15号本金</t>
  </si>
  <si>
    <t>275是另一号支出</t>
  </si>
  <si>
    <t>39退款</t>
  </si>
  <si>
    <t>3是退款</t>
  </si>
  <si>
    <t>1000借小伟</t>
  </si>
  <si>
    <t>687支出</t>
  </si>
  <si>
    <t>413零钱支出</t>
  </si>
  <si>
    <t>待查明</t>
  </si>
  <si>
    <t>浩君</t>
  </si>
  <si>
    <t>零钱支出</t>
  </si>
  <si>
    <t>跟浩军借1000  728零钱支出</t>
  </si>
  <si>
    <t>还浩军1000    725  275零钱</t>
  </si>
  <si>
    <t>62零钱支出</t>
  </si>
  <si>
    <t>65零钱支出</t>
  </si>
  <si>
    <t>1062零钱提现</t>
  </si>
  <si>
    <t>零钱收入765</t>
  </si>
  <si>
    <t>39是7079支出</t>
  </si>
  <si>
    <t>工商6355</t>
  </si>
  <si>
    <t>农业5470</t>
  </si>
  <si>
    <t>21在零钱</t>
  </si>
  <si>
    <t>867是借农行5470</t>
  </si>
  <si>
    <t>867借邮政0712  多34</t>
  </si>
  <si>
    <t>145在零钱</t>
  </si>
  <si>
    <t>236是借农行5470</t>
  </si>
  <si>
    <t>236借邮政0712  差104</t>
  </si>
  <si>
    <t>59是退款</t>
  </si>
  <si>
    <t>38是借农行5470  421零钱支出</t>
  </si>
  <si>
    <t>38借0712</t>
  </si>
  <si>
    <t>与5470对调</t>
  </si>
  <si>
    <t>与6176对调</t>
  </si>
  <si>
    <t>172零钱支出</t>
  </si>
  <si>
    <t>10元在零钱</t>
  </si>
  <si>
    <t>30在零钱</t>
  </si>
  <si>
    <t>5在零钱</t>
  </si>
  <si>
    <t>4元在零钱</t>
  </si>
  <si>
    <t>45零钱支出</t>
  </si>
  <si>
    <t>49借邮政0712</t>
  </si>
  <si>
    <t>527是借农行5470</t>
  </si>
  <si>
    <t>10在零钱</t>
  </si>
  <si>
    <t>58是退款</t>
  </si>
  <si>
    <t>459借邮政6176</t>
  </si>
  <si>
    <t>借邮政0712</t>
  </si>
  <si>
    <t>映珊</t>
  </si>
  <si>
    <t>4在零钱</t>
  </si>
  <si>
    <t>3710转支付宝花呗    错58</t>
  </si>
  <si>
    <t>54在零钱</t>
  </si>
  <si>
    <t>59在零钱</t>
  </si>
  <si>
    <t>4100私人转账，己转回</t>
  </si>
  <si>
    <t>3710己转还</t>
  </si>
  <si>
    <t>在零钱</t>
  </si>
  <si>
    <t>漏一单</t>
  </si>
  <si>
    <t>300借工商6355</t>
  </si>
  <si>
    <t>300是借民生5903</t>
  </si>
  <si>
    <t>时间差  差43</t>
  </si>
  <si>
    <t>98小杰私人转</t>
  </si>
  <si>
    <t>94是退款</t>
  </si>
  <si>
    <t>1980是私人转出费用</t>
  </si>
  <si>
    <t>50转出私人费用</t>
  </si>
  <si>
    <t>134是退款</t>
  </si>
  <si>
    <t>泽生</t>
  </si>
  <si>
    <t>交通2902</t>
  </si>
  <si>
    <t>48工商6355</t>
  </si>
  <si>
    <t>供应商信息管理表</t>
  </si>
  <si>
    <t>Supplier information management form</t>
  </si>
  <si>
    <t>编号</t>
  </si>
  <si>
    <t>供应商编码</t>
  </si>
  <si>
    <t>供应商名称</t>
  </si>
  <si>
    <t>银行帐号</t>
  </si>
  <si>
    <t>开户银行</t>
  </si>
  <si>
    <t>账单周期</t>
  </si>
  <si>
    <t>供应商评价</t>
  </si>
  <si>
    <t>供应产品</t>
  </si>
  <si>
    <t>产能情况</t>
  </si>
  <si>
    <t>TS20201001</t>
  </si>
  <si>
    <t>供应商公司1</t>
  </si>
  <si>
    <t>123456789789</t>
  </si>
  <si>
    <t>建设银行</t>
  </si>
  <si>
    <t>30天</t>
  </si>
  <si>
    <t>★★★</t>
  </si>
  <si>
    <t>产品一</t>
  </si>
  <si>
    <t>产能不足</t>
  </si>
  <si>
    <t>TS20201002</t>
  </si>
  <si>
    <t>供应商公司2</t>
  </si>
  <si>
    <t>60天</t>
  </si>
  <si>
    <t>★★★★★</t>
  </si>
  <si>
    <t>产品二</t>
  </si>
  <si>
    <t>产能满足</t>
  </si>
  <si>
    <t>TS20201003</t>
  </si>
  <si>
    <t>供应商公司3</t>
  </si>
  <si>
    <t>90天</t>
  </si>
  <si>
    <t>★★</t>
  </si>
  <si>
    <t>产品三</t>
  </si>
  <si>
    <t>产能富余</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</si>
</sst>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
  </numFmts>
  <fonts count="35">
    <font>
      <sz val="12"/>
      <name val="宋体"/>
      <charset val="134"/>
    </font>
    <font>
      <sz val="12"/>
      <color theme="4"/>
      <name val="宋体"/>
      <charset val="134"/>
    </font>
    <font>
      <sz val="12"/>
      <color rgb="FFFF0000"/>
      <name val="宋体"/>
      <charset val="134"/>
    </font>
    <font>
      <sz val="12"/>
      <color theme="8"/>
      <name val="宋体"/>
      <charset val="134"/>
    </font>
    <font>
      <sz val="11"/>
      <name val="宋体"/>
      <charset val="134"/>
    </font>
    <font>
      <sz val="11"/>
      <name val="宋体"/>
      <charset val="134"/>
      <scheme val="minor"/>
    </font>
    <font>
      <sz val="26"/>
      <color theme="0"/>
      <name val="微软雅黑"/>
      <charset val="134"/>
    </font>
    <font>
      <sz val="12"/>
      <color theme="0"/>
      <name val="微软雅黑"/>
      <charset val="134"/>
    </font>
    <font>
      <b/>
      <sz val="60"/>
      <name val="微软雅黑"/>
      <charset val="134"/>
    </font>
    <font>
      <sz val="11"/>
      <color theme="0"/>
      <name val="微软雅黑"/>
      <charset val="134"/>
    </font>
    <font>
      <sz val="12"/>
      <color theme="9" tint="-0.499984740745262"/>
      <name val="宋体"/>
      <charset val="134"/>
    </font>
    <font>
      <sz val="12"/>
      <color rgb="FF7030A0"/>
      <name val="宋体"/>
      <charset val="134"/>
    </font>
    <font>
      <sz val="11"/>
      <color rgb="FFFF0000"/>
      <name val="宋体"/>
      <charset val="134"/>
    </font>
    <font>
      <sz val="11"/>
      <color theme="1"/>
      <name val="宋体"/>
      <charset val="134"/>
      <scheme val="minor"/>
    </font>
    <font>
      <b/>
      <sz val="13"/>
      <color theme="3"/>
      <name val="宋体"/>
      <charset val="134"/>
      <scheme val="minor"/>
    </font>
    <font>
      <sz val="11"/>
      <color theme="0"/>
      <name val="宋体"/>
      <charset val="134"/>
      <scheme val="minor"/>
    </font>
    <font>
      <b/>
      <sz val="11"/>
      <color rgb="FFFFFFFF"/>
      <name val="宋体"/>
      <charset val="134"/>
      <scheme val="minor"/>
    </font>
    <font>
      <sz val="11"/>
      <color rgb="FF3F3F76"/>
      <name val="宋体"/>
      <charset val="134"/>
      <scheme val="minor"/>
    </font>
    <font>
      <sz val="11"/>
      <color rgb="FF9C0006"/>
      <name val="宋体"/>
      <charset val="134"/>
      <scheme val="minor"/>
    </font>
    <font>
      <sz val="11"/>
      <color rgb="FFFA7D00"/>
      <name val="宋体"/>
      <charset val="134"/>
      <scheme val="minor"/>
    </font>
    <font>
      <b/>
      <sz val="11"/>
      <color theme="3"/>
      <name val="宋体"/>
      <charset val="134"/>
      <scheme val="minor"/>
    </font>
    <font>
      <u/>
      <sz val="11"/>
      <color rgb="FF0000FF"/>
      <name val="宋体"/>
      <charset val="134"/>
      <scheme val="minor"/>
    </font>
    <font>
      <b/>
      <sz val="11"/>
      <color theme="1"/>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1"/>
      <color rgb="FF3F3F3F"/>
      <name val="宋体"/>
      <charset val="134"/>
      <scheme val="minor"/>
    </font>
    <font>
      <sz val="11"/>
      <color rgb="FF9C6500"/>
      <name val="宋体"/>
      <charset val="134"/>
      <scheme val="minor"/>
    </font>
    <font>
      <b/>
      <sz val="11"/>
      <color rgb="FFFA7D00"/>
      <name val="宋体"/>
      <charset val="134"/>
      <scheme val="minor"/>
    </font>
    <font>
      <sz val="11"/>
      <color rgb="FF006100"/>
      <name val="宋体"/>
      <charset val="134"/>
      <scheme val="minor"/>
    </font>
    <font>
      <sz val="11"/>
      <color indexed="8"/>
      <name val="宋体"/>
      <charset val="134"/>
    </font>
    <font>
      <b/>
      <sz val="9"/>
      <name val="宋体"/>
      <charset val="134"/>
    </font>
    <font>
      <sz val="9"/>
      <name val="宋体"/>
      <charset val="134"/>
    </font>
  </fonts>
  <fills count="3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299D91"/>
        <bgColor indexed="64"/>
      </patternFill>
    </fill>
    <fill>
      <patternFill patternType="solid">
        <fgColor rgb="FF299D91"/>
        <bgColor theme="5"/>
      </patternFill>
    </fill>
    <fill>
      <patternFill patternType="solid">
        <fgColor rgb="FFEDFEFB"/>
        <bgColor indexed="64"/>
      </patternFill>
    </fill>
    <fill>
      <patternFill patternType="solid">
        <fgColor theme="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rgb="FFFFCC99"/>
        <bgColor indexed="64"/>
      </patternFill>
    </fill>
    <fill>
      <patternFill patternType="solid">
        <fgColor rgb="FFFFC7CE"/>
        <bgColor indexed="64"/>
      </patternFill>
    </fill>
    <fill>
      <patternFill patternType="solid">
        <fgColor theme="4" tint="0.799981688894314"/>
        <bgColor indexed="64"/>
      </patternFill>
    </fill>
    <fill>
      <patternFill patternType="solid">
        <fgColor theme="8"/>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7"/>
        <bgColor indexed="64"/>
      </patternFill>
    </fill>
    <fill>
      <patternFill patternType="solid">
        <fgColor rgb="FFF2F2F2"/>
        <bgColor indexed="64"/>
      </patternFill>
    </fill>
    <fill>
      <patternFill patternType="solid">
        <fgColor rgb="FFFFEB9C"/>
        <bgColor indexed="64"/>
      </patternFill>
    </fill>
    <fill>
      <patternFill patternType="solid">
        <fgColor theme="9" tint="0.799981688894314"/>
        <bgColor indexed="64"/>
      </patternFill>
    </fill>
    <fill>
      <patternFill patternType="solid">
        <fgColor theme="4"/>
        <bgColor indexed="64"/>
      </patternFill>
    </fill>
    <fill>
      <patternFill patternType="solid">
        <fgColor rgb="FFC6EFCE"/>
        <bgColor indexed="64"/>
      </patternFill>
    </fill>
    <fill>
      <patternFill patternType="solid">
        <fgColor theme="9" tint="0.399975585192419"/>
        <bgColor indexed="64"/>
      </patternFill>
    </fill>
    <fill>
      <patternFill patternType="solid">
        <fgColor theme="6"/>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s>
  <borders count="38">
    <border>
      <left/>
      <right/>
      <top/>
      <bottom/>
      <diagonal/>
    </border>
    <border>
      <left style="thin">
        <color auto="1"/>
      </left>
      <right style="thin">
        <color auto="1"/>
      </right>
      <top style="thin">
        <color auto="1"/>
      </top>
      <bottom style="thin">
        <color auto="1"/>
      </bottom>
      <diagonal/>
    </border>
    <border>
      <left style="thin">
        <color rgb="FF299D91"/>
      </left>
      <right/>
      <top/>
      <bottom/>
      <diagonal/>
    </border>
    <border>
      <left style="thin">
        <color rgb="FF0B9796"/>
      </left>
      <right style="thin">
        <color rgb="FFD5F4F1"/>
      </right>
      <top style="thin">
        <color rgb="FF0B9796"/>
      </top>
      <bottom/>
      <diagonal/>
    </border>
    <border>
      <left style="thin">
        <color rgb="FFD5F4F1"/>
      </left>
      <right style="thin">
        <color rgb="FFD5F4F1"/>
      </right>
      <top style="thin">
        <color rgb="FF0B9796"/>
      </top>
      <bottom/>
      <diagonal/>
    </border>
    <border>
      <left style="thin">
        <color rgb="FF0B9796"/>
      </left>
      <right style="thin">
        <color theme="0" tint="-0.05"/>
      </right>
      <top style="thin">
        <color theme="0" tint="-0.05"/>
      </top>
      <bottom style="thin">
        <color theme="0" tint="-0.05"/>
      </bottom>
      <diagonal/>
    </border>
    <border>
      <left style="thin">
        <color theme="0" tint="-0.05"/>
      </left>
      <right style="thin">
        <color theme="0" tint="-0.05"/>
      </right>
      <top style="thin">
        <color theme="0" tint="-0.05"/>
      </top>
      <bottom style="thin">
        <color theme="0" tint="-0.05"/>
      </bottom>
      <diagonal/>
    </border>
    <border>
      <left style="thin">
        <color rgb="FF0B9796"/>
      </left>
      <right style="thin">
        <color theme="0" tint="-0.05"/>
      </right>
      <top style="thin">
        <color theme="0" tint="-0.05"/>
      </top>
      <bottom style="thin">
        <color rgb="FF0B9796"/>
      </bottom>
      <diagonal/>
    </border>
    <border>
      <left style="thin">
        <color theme="0" tint="-0.05"/>
      </left>
      <right style="thin">
        <color theme="0" tint="-0.05"/>
      </right>
      <top style="thin">
        <color theme="0" tint="-0.05"/>
      </top>
      <bottom style="thin">
        <color rgb="FF0B9796"/>
      </bottom>
      <diagonal/>
    </border>
    <border>
      <left style="thin">
        <color theme="0" tint="-0.05"/>
      </left>
      <right style="thin">
        <color theme="0" tint="-0.05"/>
      </right>
      <top/>
      <bottom style="thin">
        <color theme="0" tint="-0.05"/>
      </bottom>
      <diagonal/>
    </border>
    <border>
      <left style="thin">
        <color rgb="FFD5F4F1"/>
      </left>
      <right style="thin">
        <color rgb="FF0B9796"/>
      </right>
      <top style="thin">
        <color rgb="FF0B9796"/>
      </top>
      <bottom/>
      <diagonal/>
    </border>
    <border>
      <left style="thin">
        <color theme="0" tint="-0.05"/>
      </left>
      <right style="thin">
        <color rgb="FF0B9796"/>
      </right>
      <top style="thin">
        <color theme="0" tint="-0.05"/>
      </top>
      <bottom style="thin">
        <color theme="0" tint="-0.05"/>
      </bottom>
      <diagonal/>
    </border>
    <border>
      <left style="thin">
        <color theme="0" tint="-0.05"/>
      </left>
      <right style="thin">
        <color rgb="FF0B9796"/>
      </right>
      <top style="thin">
        <color theme="0" tint="-0.05"/>
      </top>
      <bottom style="thin">
        <color rgb="FF0B9796"/>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thin">
        <color auto="1"/>
      </top>
      <bottom/>
      <diagonal/>
    </border>
    <border>
      <left style="thin">
        <color auto="1"/>
      </left>
      <right style="medium">
        <color auto="1"/>
      </right>
      <top style="medium">
        <color auto="1"/>
      </top>
      <bottom style="medium">
        <color auto="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9" borderId="0" applyNumberFormat="0" applyBorder="0" applyAlignment="0" applyProtection="0">
      <alignment vertical="center"/>
    </xf>
    <xf numFmtId="0" fontId="17" fillId="11" borderId="3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6" borderId="0" applyNumberFormat="0" applyBorder="0" applyAlignment="0" applyProtection="0">
      <alignment vertical="center"/>
    </xf>
    <xf numFmtId="0" fontId="18" fillId="12" borderId="0" applyNumberFormat="0" applyBorder="0" applyAlignment="0" applyProtection="0">
      <alignment vertical="center"/>
    </xf>
    <xf numFmtId="43" fontId="0" fillId="0" borderId="0" applyFont="0" applyFill="0" applyBorder="0" applyAlignment="0" applyProtection="0">
      <alignment vertical="center"/>
    </xf>
    <xf numFmtId="0" fontId="15" fillId="19"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13" fillId="20" borderId="36" applyNumberFormat="0" applyFont="0" applyAlignment="0" applyProtection="0">
      <alignment vertical="center"/>
    </xf>
    <xf numFmtId="0" fontId="15" fillId="23" borderId="0" applyNumberFormat="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30" applyNumberFormat="0" applyFill="0" applyAlignment="0" applyProtection="0">
      <alignment vertical="center"/>
    </xf>
    <xf numFmtId="0" fontId="14" fillId="0" borderId="30" applyNumberFormat="0" applyFill="0" applyAlignment="0" applyProtection="0">
      <alignment vertical="center"/>
    </xf>
    <xf numFmtId="0" fontId="15" fillId="15" borderId="0" applyNumberFormat="0" applyBorder="0" applyAlignment="0" applyProtection="0">
      <alignment vertical="center"/>
    </xf>
    <xf numFmtId="0" fontId="20" fillId="0" borderId="34" applyNumberFormat="0" applyFill="0" applyAlignment="0" applyProtection="0">
      <alignment vertical="center"/>
    </xf>
    <xf numFmtId="0" fontId="15" fillId="8" borderId="0" applyNumberFormat="0" applyBorder="0" applyAlignment="0" applyProtection="0">
      <alignment vertical="center"/>
    </xf>
    <xf numFmtId="0" fontId="28" fillId="25" borderId="37" applyNumberFormat="0" applyAlignment="0" applyProtection="0">
      <alignment vertical="center"/>
    </xf>
    <xf numFmtId="0" fontId="30" fillId="25" borderId="32" applyNumberFormat="0" applyAlignment="0" applyProtection="0">
      <alignment vertical="center"/>
    </xf>
    <xf numFmtId="0" fontId="16" fillId="10" borderId="31" applyNumberFormat="0" applyAlignment="0" applyProtection="0">
      <alignment vertical="center"/>
    </xf>
    <xf numFmtId="0" fontId="13" fillId="27" borderId="0" applyNumberFormat="0" applyBorder="0" applyAlignment="0" applyProtection="0">
      <alignment vertical="center"/>
    </xf>
    <xf numFmtId="0" fontId="15" fillId="7" borderId="0" applyNumberFormat="0" applyBorder="0" applyAlignment="0" applyProtection="0">
      <alignment vertical="center"/>
    </xf>
    <xf numFmtId="0" fontId="19" fillId="0" borderId="33" applyNumberFormat="0" applyFill="0" applyAlignment="0" applyProtection="0">
      <alignment vertical="center"/>
    </xf>
    <xf numFmtId="0" fontId="22" fillId="0" borderId="35" applyNumberFormat="0" applyFill="0" applyAlignment="0" applyProtection="0">
      <alignment vertical="center"/>
    </xf>
    <xf numFmtId="0" fontId="31" fillId="29" borderId="0" applyNumberFormat="0" applyBorder="0" applyAlignment="0" applyProtection="0">
      <alignment vertical="center"/>
    </xf>
    <xf numFmtId="0" fontId="29" fillId="26" borderId="0" applyNumberFormat="0" applyBorder="0" applyAlignment="0" applyProtection="0">
      <alignment vertical="center"/>
    </xf>
    <xf numFmtId="0" fontId="13" fillId="32" borderId="0" applyNumberFormat="0" applyBorder="0" applyAlignment="0" applyProtection="0">
      <alignment vertical="center"/>
    </xf>
    <xf numFmtId="0" fontId="15" fillId="28" borderId="0" applyNumberFormat="0" applyBorder="0" applyAlignment="0" applyProtection="0">
      <alignment vertical="center"/>
    </xf>
    <xf numFmtId="0" fontId="13" fillId="13" borderId="0" applyNumberFormat="0" applyBorder="0" applyAlignment="0" applyProtection="0">
      <alignment vertical="center"/>
    </xf>
    <xf numFmtId="0" fontId="13" fillId="33" borderId="0" applyNumberFormat="0" applyBorder="0" applyAlignment="0" applyProtection="0">
      <alignment vertical="center"/>
    </xf>
    <xf numFmtId="0" fontId="13" fillId="34" borderId="0" applyNumberFormat="0" applyBorder="0" applyAlignment="0" applyProtection="0">
      <alignment vertical="center"/>
    </xf>
    <xf numFmtId="0" fontId="13" fillId="22" borderId="0" applyNumberFormat="0" applyBorder="0" applyAlignment="0" applyProtection="0">
      <alignment vertical="center"/>
    </xf>
    <xf numFmtId="0" fontId="15" fillId="31" borderId="0" applyNumberFormat="0" applyBorder="0" applyAlignment="0" applyProtection="0">
      <alignment vertical="center"/>
    </xf>
    <xf numFmtId="0" fontId="15" fillId="24" borderId="0" applyNumberFormat="0" applyBorder="0" applyAlignment="0" applyProtection="0">
      <alignment vertical="center"/>
    </xf>
    <xf numFmtId="0" fontId="13" fillId="21" borderId="0" applyNumberFormat="0" applyBorder="0" applyAlignment="0" applyProtection="0">
      <alignment vertical="center"/>
    </xf>
    <xf numFmtId="0" fontId="13" fillId="18" borderId="0" applyNumberFormat="0" applyBorder="0" applyAlignment="0" applyProtection="0">
      <alignment vertical="center"/>
    </xf>
    <xf numFmtId="0" fontId="15" fillId="14" borderId="0" applyNumberFormat="0" applyBorder="0" applyAlignment="0" applyProtection="0">
      <alignment vertical="center"/>
    </xf>
    <xf numFmtId="0" fontId="13" fillId="35" borderId="0" applyNumberFormat="0" applyBorder="0" applyAlignment="0" applyProtection="0">
      <alignment vertical="center"/>
    </xf>
    <xf numFmtId="0" fontId="15" fillId="36" borderId="0" applyNumberFormat="0" applyBorder="0" applyAlignment="0" applyProtection="0">
      <alignment vertical="center"/>
    </xf>
    <xf numFmtId="0" fontId="15" fillId="17" borderId="0" applyNumberFormat="0" applyBorder="0" applyAlignment="0" applyProtection="0">
      <alignment vertical="center"/>
    </xf>
    <xf numFmtId="0" fontId="13" fillId="37" borderId="0" applyNumberFormat="0" applyBorder="0" applyAlignment="0" applyProtection="0">
      <alignment vertical="center"/>
    </xf>
    <xf numFmtId="0" fontId="15" fillId="30" borderId="0" applyNumberFormat="0" applyBorder="0" applyAlignment="0" applyProtection="0">
      <alignment vertical="center"/>
    </xf>
    <xf numFmtId="0" fontId="32" fillId="0" borderId="0">
      <alignment vertical="center"/>
    </xf>
  </cellStyleXfs>
  <cellXfs count="117">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2" fillId="0" borderId="0" xfId="0" applyFont="1" applyFill="1">
      <alignment vertical="center"/>
    </xf>
    <xf numFmtId="0" fontId="0" fillId="0" borderId="1" xfId="0" applyFont="1" applyBorder="1">
      <alignment vertical="center"/>
    </xf>
    <xf numFmtId="0" fontId="0" fillId="0" borderId="1" xfId="0" applyFont="1" applyBorder="1" applyAlignment="1">
      <alignment horizontal="center" vertical="center"/>
    </xf>
    <xf numFmtId="58" fontId="4" fillId="0" borderId="1" xfId="0" applyNumberFormat="1" applyFont="1" applyBorder="1" applyAlignment="1">
      <alignment horizontal="center" vertical="center"/>
    </xf>
    <xf numFmtId="0" fontId="5" fillId="0" borderId="1" xfId="0" applyFont="1" applyFill="1" applyBorder="1" applyAlignment="1">
      <alignment horizontal="center" vertical="center"/>
    </xf>
    <xf numFmtId="58" fontId="4" fillId="0" borderId="1" xfId="0" applyNumberFormat="1" applyFont="1" applyFill="1" applyBorder="1" applyAlignment="1">
      <alignment horizontal="center" vertical="center"/>
    </xf>
    <xf numFmtId="0" fontId="0" fillId="0" borderId="1" xfId="0" applyFont="1" applyFill="1" applyBorder="1" applyAlignment="1">
      <alignment horizontal="center" vertical="center"/>
    </xf>
    <xf numFmtId="58" fontId="4" fillId="2"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0" fontId="3" fillId="2" borderId="1" xfId="0" applyFont="1" applyFill="1" applyBorder="1" applyAlignment="1">
      <alignment horizontal="center" vertical="center"/>
    </xf>
    <xf numFmtId="58" fontId="0" fillId="0" borderId="1" xfId="0" applyNumberFormat="1" applyFont="1" applyBorder="1">
      <alignment vertical="center"/>
    </xf>
    <xf numFmtId="0" fontId="0" fillId="0" borderId="0" xfId="0" applyFont="1">
      <alignment vertical="center"/>
    </xf>
    <xf numFmtId="0" fontId="0" fillId="3" borderId="0" xfId="0" applyFill="1">
      <alignment vertical="center"/>
    </xf>
    <xf numFmtId="49" fontId="0" fillId="3" borderId="0" xfId="0" applyNumberFormat="1" applyFont="1" applyFill="1">
      <alignment vertical="center"/>
    </xf>
    <xf numFmtId="0" fontId="0" fillId="3" borderId="0" xfId="0" applyFont="1" applyFill="1">
      <alignment vertical="center"/>
    </xf>
    <xf numFmtId="49" fontId="6" fillId="4" borderId="2" xfId="0" applyNumberFormat="1" applyFont="1" applyFill="1" applyBorder="1" applyAlignment="1">
      <alignment horizontal="center" vertical="center"/>
    </xf>
    <xf numFmtId="49" fontId="6" fillId="4" borderId="0" xfId="0" applyNumberFormat="1" applyFont="1" applyFill="1" applyAlignment="1">
      <alignment horizontal="center" vertical="center"/>
    </xf>
    <xf numFmtId="49" fontId="7" fillId="4" borderId="2" xfId="0" applyNumberFormat="1" applyFont="1" applyFill="1" applyBorder="1" applyAlignment="1">
      <alignment horizontal="center" vertical="top"/>
    </xf>
    <xf numFmtId="49" fontId="7" fillId="4" borderId="0" xfId="0" applyNumberFormat="1" applyFont="1" applyFill="1" applyAlignment="1">
      <alignment horizontal="center" vertical="top"/>
    </xf>
    <xf numFmtId="49" fontId="8" fillId="3" borderId="0" xfId="0" applyNumberFormat="1" applyFont="1" applyFill="1" applyAlignment="1">
      <alignment horizontal="center" vertical="center"/>
    </xf>
    <xf numFmtId="0" fontId="8" fillId="3" borderId="0" xfId="0" applyFont="1" applyFill="1" applyAlignment="1">
      <alignment horizontal="center" vertical="center"/>
    </xf>
    <xf numFmtId="49" fontId="9" fillId="5" borderId="3" xfId="0" applyNumberFormat="1" applyFont="1" applyFill="1" applyBorder="1" applyAlignment="1">
      <alignment horizontal="center" vertical="center"/>
    </xf>
    <xf numFmtId="49" fontId="9" fillId="5" borderId="4" xfId="0" applyNumberFormat="1" applyFont="1" applyFill="1" applyBorder="1" applyAlignment="1">
      <alignment horizontal="center" vertical="center"/>
    </xf>
    <xf numFmtId="0" fontId="9" fillId="5" borderId="4" xfId="0" applyFont="1" applyFill="1" applyBorder="1" applyAlignment="1">
      <alignment horizontal="center" vertical="center" shrinkToFit="1"/>
    </xf>
    <xf numFmtId="49" fontId="9" fillId="5" borderId="4" xfId="0" applyNumberFormat="1" applyFont="1" applyFill="1" applyBorder="1" applyAlignment="1">
      <alignment horizontal="center" vertical="center" shrinkToFit="1"/>
    </xf>
    <xf numFmtId="49" fontId="0" fillId="0" borderId="5" xfId="0" applyNumberFormat="1" applyFont="1" applyFill="1" applyBorder="1" applyAlignment="1">
      <alignment horizontal="center" vertical="center"/>
    </xf>
    <xf numFmtId="49" fontId="0" fillId="0" borderId="6" xfId="0" applyNumberFormat="1" applyFont="1" applyFill="1" applyBorder="1" applyAlignment="1">
      <alignment horizontal="center" vertical="center"/>
    </xf>
    <xf numFmtId="0" fontId="0" fillId="0" borderId="6" xfId="0" applyFont="1" applyFill="1" applyBorder="1" applyAlignment="1">
      <alignment horizontal="center" vertical="center" shrinkToFit="1"/>
    </xf>
    <xf numFmtId="49" fontId="0" fillId="0" borderId="6" xfId="0" applyNumberFormat="1" applyFont="1" applyFill="1" applyBorder="1" applyAlignment="1">
      <alignment horizontal="center" vertical="center" shrinkToFit="1"/>
    </xf>
    <xf numFmtId="49" fontId="0" fillId="6" borderId="5" xfId="0" applyNumberFormat="1" applyFont="1" applyFill="1" applyBorder="1" applyAlignment="1">
      <alignment horizontal="center" vertical="center"/>
    </xf>
    <xf numFmtId="49" fontId="0" fillId="6" borderId="6" xfId="0" applyNumberFormat="1" applyFont="1" applyFill="1" applyBorder="1" applyAlignment="1">
      <alignment horizontal="center" vertical="center"/>
    </xf>
    <xf numFmtId="0" fontId="0" fillId="6" borderId="6" xfId="0" applyFont="1" applyFill="1" applyBorder="1" applyAlignment="1">
      <alignment horizontal="center" vertical="center" shrinkToFit="1"/>
    </xf>
    <xf numFmtId="49" fontId="0" fillId="6" borderId="6" xfId="0" applyNumberFormat="1" applyFont="1" applyFill="1" applyBorder="1" applyAlignment="1">
      <alignment horizontal="center" vertical="center" shrinkToFit="1"/>
    </xf>
    <xf numFmtId="0" fontId="0" fillId="6" borderId="6" xfId="0" applyNumberFormat="1" applyFont="1" applyFill="1" applyBorder="1" applyAlignment="1">
      <alignment horizontal="center" vertical="center" shrinkToFit="1"/>
    </xf>
    <xf numFmtId="0" fontId="0" fillId="0" borderId="6" xfId="0" applyNumberFormat="1" applyFont="1" applyFill="1" applyBorder="1" applyAlignment="1">
      <alignment horizontal="center" vertical="center" shrinkToFit="1"/>
    </xf>
    <xf numFmtId="0" fontId="0" fillId="0" borderId="6" xfId="0" applyFont="1" applyFill="1" applyBorder="1" applyAlignment="1">
      <alignment horizontal="center" vertical="center"/>
    </xf>
    <xf numFmtId="0" fontId="0" fillId="6" borderId="6" xfId="0" applyFont="1" applyFill="1" applyBorder="1" applyAlignment="1">
      <alignment horizontal="center" vertical="center"/>
    </xf>
    <xf numFmtId="49" fontId="0" fillId="6" borderId="7" xfId="0" applyNumberFormat="1" applyFont="1" applyFill="1" applyBorder="1" applyAlignment="1">
      <alignment horizontal="center" vertical="center"/>
    </xf>
    <xf numFmtId="49" fontId="0" fillId="6" borderId="8" xfId="0" applyNumberFormat="1" applyFont="1" applyFill="1" applyBorder="1" applyAlignment="1">
      <alignment horizontal="center" vertical="center"/>
    </xf>
    <xf numFmtId="0" fontId="0" fillId="6" borderId="8" xfId="0" applyFont="1" applyFill="1" applyBorder="1" applyAlignment="1">
      <alignment horizontal="center" vertical="center" shrinkToFit="1"/>
    </xf>
    <xf numFmtId="0" fontId="0" fillId="6" borderId="8" xfId="0" applyFont="1" applyFill="1" applyBorder="1" applyAlignment="1">
      <alignment horizontal="center" vertical="center"/>
    </xf>
    <xf numFmtId="49" fontId="0" fillId="0" borderId="9" xfId="0" applyNumberFormat="1" applyFont="1" applyFill="1" applyBorder="1" applyAlignment="1">
      <alignment horizontal="center" vertical="center"/>
    </xf>
    <xf numFmtId="0" fontId="0" fillId="0" borderId="9" xfId="0" applyFont="1" applyFill="1" applyBorder="1" applyAlignment="1">
      <alignment horizontal="center" vertical="center" shrinkToFit="1"/>
    </xf>
    <xf numFmtId="0" fontId="0" fillId="0" borderId="9" xfId="0" applyFont="1" applyFill="1" applyBorder="1" applyAlignment="1">
      <alignment horizontal="center" vertical="center"/>
    </xf>
    <xf numFmtId="0" fontId="9" fillId="4" borderId="10" xfId="0" applyFont="1" applyFill="1" applyBorder="1" applyAlignment="1">
      <alignment horizontal="center" vertical="center"/>
    </xf>
    <xf numFmtId="0" fontId="0" fillId="0" borderId="11" xfId="0" applyFont="1" applyFill="1" applyBorder="1" applyAlignment="1">
      <alignment horizontal="center" vertical="center"/>
    </xf>
    <xf numFmtId="0" fontId="0" fillId="6" borderId="11" xfId="0" applyFont="1" applyFill="1" applyBorder="1" applyAlignment="1">
      <alignment horizontal="center" vertical="center"/>
    </xf>
    <xf numFmtId="0" fontId="0" fillId="6" borderId="12" xfId="0" applyFont="1" applyFill="1" applyBorder="1" applyAlignment="1">
      <alignment horizontal="center" vertical="center"/>
    </xf>
    <xf numFmtId="0" fontId="0" fillId="0" borderId="13" xfId="0" applyFont="1" applyBorder="1" applyAlignment="1">
      <alignment horizontal="center" vertical="center"/>
    </xf>
    <xf numFmtId="0" fontId="0" fillId="0" borderId="14" xfId="0" applyFont="1" applyBorder="1" applyAlignment="1">
      <alignment horizontal="center" vertical="center"/>
    </xf>
    <xf numFmtId="176" fontId="0" fillId="0" borderId="14" xfId="0" applyNumberFormat="1" applyFont="1" applyBorder="1" applyAlignment="1">
      <alignment horizontal="center" vertical="center"/>
    </xf>
    <xf numFmtId="0" fontId="2" fillId="0" borderId="14" xfId="0" applyFont="1" applyBorder="1" applyAlignment="1">
      <alignment horizontal="center" vertical="center"/>
    </xf>
    <xf numFmtId="176" fontId="10" fillId="0" borderId="14" xfId="0" applyNumberFormat="1" applyFont="1" applyBorder="1" applyAlignment="1">
      <alignment horizontal="center" vertical="center"/>
    </xf>
    <xf numFmtId="58" fontId="4" fillId="0" borderId="15" xfId="0" applyNumberFormat="1" applyFont="1" applyBorder="1" applyAlignment="1">
      <alignment horizontal="center" vertical="center"/>
    </xf>
    <xf numFmtId="0" fontId="5" fillId="0" borderId="16" xfId="0" applyFont="1" applyFill="1" applyBorder="1" applyAlignment="1">
      <alignment horizontal="center" vertical="center"/>
    </xf>
    <xf numFmtId="176" fontId="0" fillId="0" borderId="16" xfId="0" applyNumberFormat="1" applyFont="1" applyBorder="1" applyAlignment="1">
      <alignment horizontal="center" vertical="center"/>
    </xf>
    <xf numFmtId="0" fontId="0" fillId="0" borderId="16" xfId="0" applyFont="1" applyBorder="1" applyAlignment="1">
      <alignment horizontal="center" vertical="center"/>
    </xf>
    <xf numFmtId="0" fontId="2" fillId="0" borderId="16" xfId="0" applyFont="1" applyBorder="1" applyAlignment="1">
      <alignment horizontal="center" vertical="center"/>
    </xf>
    <xf numFmtId="176" fontId="10" fillId="0" borderId="16" xfId="0" applyNumberFormat="1" applyFont="1" applyBorder="1" applyAlignment="1">
      <alignment horizontal="center" vertical="center"/>
    </xf>
    <xf numFmtId="58" fontId="4" fillId="0" borderId="17" xfId="0" applyNumberFormat="1" applyFont="1" applyBorder="1" applyAlignment="1">
      <alignment horizontal="center" vertical="center"/>
    </xf>
    <xf numFmtId="176" fontId="0" fillId="0" borderId="1" xfId="0" applyNumberFormat="1" applyFont="1" applyBorder="1" applyAlignment="1">
      <alignment horizontal="center" vertical="center"/>
    </xf>
    <xf numFmtId="0" fontId="2" fillId="0" borderId="1" xfId="0" applyFont="1" applyBorder="1" applyAlignment="1">
      <alignment horizontal="center" vertical="center"/>
    </xf>
    <xf numFmtId="176" fontId="10" fillId="0" borderId="1" xfId="0" applyNumberFormat="1" applyFont="1" applyBorder="1" applyAlignment="1">
      <alignment horizontal="center" vertical="center"/>
    </xf>
    <xf numFmtId="58" fontId="4" fillId="0" borderId="18" xfId="0" applyNumberFormat="1" applyFont="1" applyBorder="1" applyAlignment="1">
      <alignment horizontal="center" vertical="center"/>
    </xf>
    <xf numFmtId="0" fontId="5" fillId="0" borderId="19" xfId="0" applyFont="1" applyFill="1" applyBorder="1" applyAlignment="1">
      <alignment horizontal="center" vertical="center"/>
    </xf>
    <xf numFmtId="176" fontId="0" fillId="0" borderId="19" xfId="0" applyNumberFormat="1" applyFont="1" applyBorder="1" applyAlignment="1">
      <alignment horizontal="center" vertical="center"/>
    </xf>
    <xf numFmtId="0" fontId="0" fillId="0" borderId="19" xfId="0" applyFont="1" applyBorder="1" applyAlignment="1">
      <alignment horizontal="center" vertical="center"/>
    </xf>
    <xf numFmtId="0" fontId="2" fillId="0" borderId="19" xfId="0" applyFont="1" applyBorder="1" applyAlignment="1">
      <alignment horizontal="center" vertical="center"/>
    </xf>
    <xf numFmtId="176" fontId="10" fillId="0" borderId="19" xfId="0" applyNumberFormat="1" applyFont="1" applyBorder="1" applyAlignment="1">
      <alignment horizontal="center" vertical="center"/>
    </xf>
    <xf numFmtId="0" fontId="11" fillId="0" borderId="14" xfId="0" applyFont="1" applyBorder="1" applyAlignment="1">
      <alignment horizontal="center" vertical="center"/>
    </xf>
    <xf numFmtId="0" fontId="0" fillId="0" borderId="20" xfId="0" applyFont="1" applyBorder="1" applyAlignment="1">
      <alignment horizontal="center" vertical="center"/>
    </xf>
    <xf numFmtId="0" fontId="11" fillId="0" borderId="16" xfId="0" applyFont="1" applyBorder="1" applyAlignment="1">
      <alignment horizontal="center" vertical="center"/>
    </xf>
    <xf numFmtId="0" fontId="12" fillId="0" borderId="21" xfId="0" applyFont="1" applyBorder="1" applyAlignment="1">
      <alignment horizontal="center" vertical="center"/>
    </xf>
    <xf numFmtId="0" fontId="11" fillId="0" borderId="1" xfId="0" applyFont="1" applyBorder="1" applyAlignment="1">
      <alignment horizontal="center" vertical="center"/>
    </xf>
    <xf numFmtId="0" fontId="12" fillId="0" borderId="22" xfId="0" applyFont="1" applyBorder="1" applyAlignment="1">
      <alignment horizontal="center" vertical="center"/>
    </xf>
    <xf numFmtId="0" fontId="2" fillId="0" borderId="22" xfId="0" applyFont="1" applyBorder="1" applyAlignment="1">
      <alignment horizontal="center" vertical="center"/>
    </xf>
    <xf numFmtId="0" fontId="4" fillId="0" borderId="22" xfId="0" applyFont="1" applyBorder="1" applyAlignment="1">
      <alignment horizontal="center" vertical="center"/>
    </xf>
    <xf numFmtId="0" fontId="11" fillId="0" borderId="19" xfId="0" applyFont="1" applyBorder="1" applyAlignment="1">
      <alignment horizontal="center" vertical="center"/>
    </xf>
    <xf numFmtId="0" fontId="4" fillId="0" borderId="23" xfId="0" applyFont="1" applyBorder="1" applyAlignment="1">
      <alignment horizontal="center" vertical="center"/>
    </xf>
    <xf numFmtId="0" fontId="4" fillId="0" borderId="21" xfId="0" applyFont="1" applyBorder="1" applyAlignment="1">
      <alignment horizontal="center" vertical="center"/>
    </xf>
    <xf numFmtId="58" fontId="4" fillId="0" borderId="24" xfId="0" applyNumberFormat="1" applyFont="1" applyBorder="1" applyAlignment="1">
      <alignment horizontal="center" vertical="center"/>
    </xf>
    <xf numFmtId="0" fontId="5" fillId="0" borderId="25" xfId="0" applyFont="1" applyFill="1" applyBorder="1" applyAlignment="1">
      <alignment horizontal="center" vertical="center"/>
    </xf>
    <xf numFmtId="176" fontId="0" fillId="0" borderId="25" xfId="0" applyNumberFormat="1" applyFont="1" applyBorder="1" applyAlignment="1">
      <alignment horizontal="center" vertical="center"/>
    </xf>
    <xf numFmtId="0" fontId="0" fillId="0" borderId="25" xfId="0" applyFont="1" applyBorder="1" applyAlignment="1">
      <alignment horizontal="center" vertical="center"/>
    </xf>
    <xf numFmtId="0" fontId="2" fillId="0" borderId="25" xfId="0" applyFont="1" applyBorder="1" applyAlignment="1">
      <alignment horizontal="center" vertical="center"/>
    </xf>
    <xf numFmtId="176" fontId="10" fillId="0" borderId="25" xfId="0" applyNumberFormat="1" applyFont="1" applyBorder="1" applyAlignment="1">
      <alignment horizontal="center" vertical="center"/>
    </xf>
    <xf numFmtId="0" fontId="0" fillId="0" borderId="26" xfId="0" applyFont="1" applyBorder="1" applyAlignment="1">
      <alignment horizontal="center" vertical="center"/>
    </xf>
    <xf numFmtId="0" fontId="0" fillId="0" borderId="27" xfId="0" applyFont="1" applyBorder="1" applyAlignment="1">
      <alignment horizontal="center" vertical="center"/>
    </xf>
    <xf numFmtId="176" fontId="0" fillId="0" borderId="27" xfId="0" applyNumberFormat="1" applyFont="1" applyBorder="1" applyAlignment="1">
      <alignment horizontal="center" vertical="center"/>
    </xf>
    <xf numFmtId="0" fontId="2" fillId="0" borderId="27" xfId="0" applyFont="1" applyBorder="1" applyAlignment="1">
      <alignment horizontal="center" vertical="center"/>
    </xf>
    <xf numFmtId="176" fontId="10" fillId="0" borderId="27" xfId="0" applyNumberFormat="1" applyFont="1" applyBorder="1" applyAlignment="1">
      <alignment horizontal="center" vertical="center"/>
    </xf>
    <xf numFmtId="0" fontId="11" fillId="0" borderId="25" xfId="0" applyFont="1" applyBorder="1" applyAlignment="1">
      <alignment horizontal="center" vertical="center"/>
    </xf>
    <xf numFmtId="0" fontId="4" fillId="0" borderId="28" xfId="0" applyFont="1" applyBorder="1" applyAlignment="1">
      <alignment horizontal="center" vertical="center"/>
    </xf>
    <xf numFmtId="0" fontId="11" fillId="0" borderId="27" xfId="0" applyFont="1" applyBorder="1" applyAlignment="1">
      <alignment horizontal="center" vertical="center"/>
    </xf>
    <xf numFmtId="0" fontId="0" fillId="0" borderId="29" xfId="0" applyFont="1" applyBorder="1" applyAlignment="1">
      <alignment horizontal="center" vertical="center"/>
    </xf>
    <xf numFmtId="0" fontId="0" fillId="0" borderId="15" xfId="0" applyFont="1" applyBorder="1" applyAlignment="1">
      <alignment horizontal="center" vertical="center"/>
    </xf>
    <xf numFmtId="0" fontId="0" fillId="0" borderId="21" xfId="0" applyFont="1" applyBorder="1" applyAlignment="1">
      <alignment horizontal="center" vertical="center"/>
    </xf>
    <xf numFmtId="0" fontId="0" fillId="0" borderId="22" xfId="0" applyFont="1" applyBorder="1" applyAlignment="1">
      <alignment horizontal="center" vertical="center"/>
    </xf>
    <xf numFmtId="0" fontId="0" fillId="0" borderId="0" xfId="0" applyAlignment="1">
      <alignment horizontal="center" vertical="center"/>
    </xf>
    <xf numFmtId="0" fontId="0" fillId="0" borderId="0" xfId="0" applyBorder="1">
      <alignment vertical="center"/>
    </xf>
    <xf numFmtId="0" fontId="0" fillId="0" borderId="0" xfId="0" applyFont="1" applyBorder="1">
      <alignment vertical="center"/>
    </xf>
    <xf numFmtId="0" fontId="0" fillId="0" borderId="0" xfId="0" applyFont="1" applyBorder="1" applyAlignment="1">
      <alignment horizontal="center" vertical="center"/>
    </xf>
    <xf numFmtId="0" fontId="0" fillId="0" borderId="0" xfId="0" applyFont="1" applyBorder="1" applyAlignment="1">
      <alignment vertical="center"/>
    </xf>
    <xf numFmtId="176" fontId="0" fillId="0" borderId="0" xfId="0" applyNumberFormat="1" applyFont="1" applyBorder="1" applyAlignment="1">
      <alignment horizontal="center" vertical="center"/>
    </xf>
    <xf numFmtId="0" fontId="2" fillId="0" borderId="0" xfId="0" applyFont="1" applyBorder="1" applyAlignment="1">
      <alignment horizontal="center" vertical="center"/>
    </xf>
    <xf numFmtId="176" fontId="10" fillId="0" borderId="0" xfId="0" applyNumberFormat="1" applyFont="1" applyBorder="1" applyAlignment="1">
      <alignment horizontal="center" vertical="center"/>
    </xf>
    <xf numFmtId="0" fontId="11" fillId="0" borderId="0" xfId="0" applyFont="1" applyBorder="1" applyAlignment="1">
      <alignment horizontal="center" vertical="center"/>
    </xf>
    <xf numFmtId="0" fontId="0" fillId="0" borderId="0" xfId="0" applyFill="1" applyBorder="1">
      <alignment vertical="center"/>
    </xf>
    <xf numFmtId="0" fontId="0" fillId="0" borderId="0" xfId="0" applyFill="1" applyAlignment="1">
      <alignment horizontal="center" vertical="center"/>
    </xf>
    <xf numFmtId="0" fontId="0" fillId="0" borderId="23" xfId="0" applyFont="1" applyBorder="1" applyAlignment="1">
      <alignment horizontal="center" vertical="center"/>
    </xf>
    <xf numFmtId="0" fontId="0" fillId="0" borderId="28" xfId="0" applyFont="1" applyBorder="1" applyAlignment="1">
      <alignment horizontal="center" vertical="center"/>
    </xf>
    <xf numFmtId="0" fontId="0" fillId="0" borderId="0" xfId="0" applyFont="1" applyFill="1" applyBorder="1">
      <alignment vertical="center"/>
    </xf>
    <xf numFmtId="0" fontId="13" fillId="0" borderId="0"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201109个人所得税" xfId="49"/>
  </cellStyles>
  <dxfs count="11">
    <dxf>
      <font>
        <color rgb="FF37CF62"/>
      </font>
    </dxf>
    <dxf>
      <font>
        <color rgb="FF37CF62"/>
      </font>
    </dxf>
    <dxf>
      <font>
        <color rgb="FF3ED82E"/>
      </font>
    </dxf>
    <dxf>
      <font>
        <color rgb="FFD6BC40"/>
      </font>
    </dxf>
    <dxf>
      <font>
        <color rgb="FF9C0006"/>
      </font>
    </dxf>
    <dxf>
      <font>
        <color rgb="FF9C0006"/>
      </font>
      <fill>
        <patternFill patternType="solid">
          <bgColor rgb="FFFFC7CE"/>
        </patternFill>
      </fill>
    </dxf>
    <dxf>
      <fill>
        <patternFill patternType="solid">
          <bgColor theme="0" tint="-0.05"/>
        </patternFill>
      </fill>
    </dxf>
    <dxf>
      <fill>
        <patternFill patternType="solid">
          <bgColor rgb="FFEEFAFF"/>
        </patternFill>
      </fill>
    </dxf>
    <dxf>
      <fill>
        <patternFill patternType="solid">
          <bgColor rgb="FFF2F5FB"/>
        </patternFill>
      </fill>
    </dxf>
    <dxf>
      <fill>
        <patternFill patternType="solid">
          <bgColor rgb="FFDCF9F8"/>
        </patternFill>
      </fill>
    </dxf>
    <dxf>
      <fill>
        <patternFill patternType="solid">
          <bgColor rgb="FFEDFEFB"/>
        </patternFill>
      </fill>
    </dxf>
  </dxfs>
  <tableStyles count="4" defaultTableStyle="TableStyleMedium2" defaultPivotStyle="PivotStyleLight16">
    <tableStyle name="表样式 1" pivot="0" count="2">
      <tableStyleElement type="firstRowStripe" dxfId="7"/>
      <tableStyleElement type="secondRowStripe" dxfId="6"/>
    </tableStyle>
    <tableStyle name="表样式 2" pivot="0" count="1">
      <tableStyleElement type="firstRowStripe" dxfId="8"/>
    </tableStyle>
    <tableStyle name="表样式 3" pivot="0" count="1">
      <tableStyleElement type="firstRowStripe" dxfId="9"/>
    </tableStyle>
    <tableStyle name="表样式 4" pivot="0" count="1">
      <tableStyleElement type="firstRowStripe" dxfId="10"/>
    </tableStyle>
  </tableStyles>
  <colors>
    <mruColors>
      <color rgb="00D6BC40"/>
      <color rgb="00D5F4F1"/>
      <color rgb="00EEFAFF"/>
      <color rgb="00F7F8FC"/>
      <color rgb="00F2F5FB"/>
      <color rgb="00DCF9F8"/>
      <color rgb="00EDFEFB"/>
      <color rgb="00FFFFFF"/>
      <color rgb="00299D91"/>
      <color rgb="000B979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9" Type="http://schemas.openxmlformats.org/officeDocument/2006/relationships/externalLink" Target="externalLinks/externalLink92.xml"/><Relationship Id="rId98" Type="http://schemas.openxmlformats.org/officeDocument/2006/relationships/externalLink" Target="externalLinks/externalLink91.xml"/><Relationship Id="rId97" Type="http://schemas.openxmlformats.org/officeDocument/2006/relationships/externalLink" Target="externalLinks/externalLink90.xml"/><Relationship Id="rId96" Type="http://schemas.openxmlformats.org/officeDocument/2006/relationships/externalLink" Target="externalLinks/externalLink89.xml"/><Relationship Id="rId95" Type="http://schemas.openxmlformats.org/officeDocument/2006/relationships/externalLink" Target="externalLinks/externalLink88.xml"/><Relationship Id="rId94" Type="http://schemas.openxmlformats.org/officeDocument/2006/relationships/externalLink" Target="externalLinks/externalLink87.xml"/><Relationship Id="rId93" Type="http://schemas.openxmlformats.org/officeDocument/2006/relationships/externalLink" Target="externalLinks/externalLink86.xml"/><Relationship Id="rId92" Type="http://schemas.openxmlformats.org/officeDocument/2006/relationships/externalLink" Target="externalLinks/externalLink85.xml"/><Relationship Id="rId91" Type="http://schemas.openxmlformats.org/officeDocument/2006/relationships/externalLink" Target="externalLinks/externalLink84.xml"/><Relationship Id="rId90" Type="http://schemas.openxmlformats.org/officeDocument/2006/relationships/externalLink" Target="externalLinks/externalLink83.xml"/><Relationship Id="rId9" Type="http://schemas.openxmlformats.org/officeDocument/2006/relationships/externalLink" Target="externalLinks/externalLink2.xml"/><Relationship Id="rId89" Type="http://schemas.openxmlformats.org/officeDocument/2006/relationships/externalLink" Target="externalLinks/externalLink82.xml"/><Relationship Id="rId88" Type="http://schemas.openxmlformats.org/officeDocument/2006/relationships/externalLink" Target="externalLinks/externalLink81.xml"/><Relationship Id="rId87" Type="http://schemas.openxmlformats.org/officeDocument/2006/relationships/externalLink" Target="externalLinks/externalLink80.xml"/><Relationship Id="rId86" Type="http://schemas.openxmlformats.org/officeDocument/2006/relationships/externalLink" Target="externalLinks/externalLink79.xml"/><Relationship Id="rId85" Type="http://schemas.openxmlformats.org/officeDocument/2006/relationships/externalLink" Target="externalLinks/externalLink78.xml"/><Relationship Id="rId84" Type="http://schemas.openxmlformats.org/officeDocument/2006/relationships/externalLink" Target="externalLinks/externalLink77.xml"/><Relationship Id="rId83" Type="http://schemas.openxmlformats.org/officeDocument/2006/relationships/externalLink" Target="externalLinks/externalLink76.xml"/><Relationship Id="rId82" Type="http://schemas.openxmlformats.org/officeDocument/2006/relationships/externalLink" Target="externalLinks/externalLink75.xml"/><Relationship Id="rId81" Type="http://schemas.openxmlformats.org/officeDocument/2006/relationships/externalLink" Target="externalLinks/externalLink74.xml"/><Relationship Id="rId80" Type="http://schemas.openxmlformats.org/officeDocument/2006/relationships/externalLink" Target="externalLinks/externalLink73.xml"/><Relationship Id="rId8" Type="http://schemas.openxmlformats.org/officeDocument/2006/relationships/externalLink" Target="externalLinks/externalLink1.xml"/><Relationship Id="rId79" Type="http://schemas.openxmlformats.org/officeDocument/2006/relationships/externalLink" Target="externalLinks/externalLink72.xml"/><Relationship Id="rId78" Type="http://schemas.openxmlformats.org/officeDocument/2006/relationships/externalLink" Target="externalLinks/externalLink71.xml"/><Relationship Id="rId77" Type="http://schemas.openxmlformats.org/officeDocument/2006/relationships/externalLink" Target="externalLinks/externalLink70.xml"/><Relationship Id="rId76" Type="http://schemas.openxmlformats.org/officeDocument/2006/relationships/externalLink" Target="externalLinks/externalLink69.xml"/><Relationship Id="rId75" Type="http://schemas.openxmlformats.org/officeDocument/2006/relationships/externalLink" Target="externalLinks/externalLink68.xml"/><Relationship Id="rId74" Type="http://schemas.openxmlformats.org/officeDocument/2006/relationships/externalLink" Target="externalLinks/externalLink67.xml"/><Relationship Id="rId73" Type="http://schemas.openxmlformats.org/officeDocument/2006/relationships/externalLink" Target="externalLinks/externalLink66.xml"/><Relationship Id="rId72" Type="http://schemas.openxmlformats.org/officeDocument/2006/relationships/externalLink" Target="externalLinks/externalLink65.xml"/><Relationship Id="rId71" Type="http://schemas.openxmlformats.org/officeDocument/2006/relationships/externalLink" Target="externalLinks/externalLink64.xml"/><Relationship Id="rId70" Type="http://schemas.openxmlformats.org/officeDocument/2006/relationships/externalLink" Target="externalLinks/externalLink63.xml"/><Relationship Id="rId7" Type="http://schemas.openxmlformats.org/officeDocument/2006/relationships/worksheet" Target="worksheets/sheet7.xml"/><Relationship Id="rId69" Type="http://schemas.openxmlformats.org/officeDocument/2006/relationships/externalLink" Target="externalLinks/externalLink62.xml"/><Relationship Id="rId68" Type="http://schemas.openxmlformats.org/officeDocument/2006/relationships/externalLink" Target="externalLinks/externalLink61.xml"/><Relationship Id="rId67" Type="http://schemas.openxmlformats.org/officeDocument/2006/relationships/externalLink" Target="externalLinks/externalLink60.xml"/><Relationship Id="rId66" Type="http://schemas.openxmlformats.org/officeDocument/2006/relationships/externalLink" Target="externalLinks/externalLink59.xml"/><Relationship Id="rId65" Type="http://schemas.openxmlformats.org/officeDocument/2006/relationships/externalLink" Target="externalLinks/externalLink58.xml"/><Relationship Id="rId64" Type="http://schemas.openxmlformats.org/officeDocument/2006/relationships/externalLink" Target="externalLinks/externalLink57.xml"/><Relationship Id="rId63" Type="http://schemas.openxmlformats.org/officeDocument/2006/relationships/externalLink" Target="externalLinks/externalLink56.xml"/><Relationship Id="rId62" Type="http://schemas.openxmlformats.org/officeDocument/2006/relationships/externalLink" Target="externalLinks/externalLink55.xml"/><Relationship Id="rId61" Type="http://schemas.openxmlformats.org/officeDocument/2006/relationships/externalLink" Target="externalLinks/externalLink54.xml"/><Relationship Id="rId60" Type="http://schemas.openxmlformats.org/officeDocument/2006/relationships/externalLink" Target="externalLinks/externalLink53.xml"/><Relationship Id="rId6" Type="http://schemas.openxmlformats.org/officeDocument/2006/relationships/worksheet" Target="worksheets/sheet6.xml"/><Relationship Id="rId59" Type="http://schemas.openxmlformats.org/officeDocument/2006/relationships/externalLink" Target="externalLinks/externalLink52.xml"/><Relationship Id="rId58" Type="http://schemas.openxmlformats.org/officeDocument/2006/relationships/externalLink" Target="externalLinks/externalLink51.xml"/><Relationship Id="rId57" Type="http://schemas.openxmlformats.org/officeDocument/2006/relationships/externalLink" Target="externalLinks/externalLink50.xml"/><Relationship Id="rId56" Type="http://schemas.openxmlformats.org/officeDocument/2006/relationships/externalLink" Target="externalLinks/externalLink49.xml"/><Relationship Id="rId55" Type="http://schemas.openxmlformats.org/officeDocument/2006/relationships/externalLink" Target="externalLinks/externalLink48.xml"/><Relationship Id="rId54" Type="http://schemas.openxmlformats.org/officeDocument/2006/relationships/externalLink" Target="externalLinks/externalLink47.xml"/><Relationship Id="rId53" Type="http://schemas.openxmlformats.org/officeDocument/2006/relationships/externalLink" Target="externalLinks/externalLink46.xml"/><Relationship Id="rId52" Type="http://schemas.openxmlformats.org/officeDocument/2006/relationships/externalLink" Target="externalLinks/externalLink45.xml"/><Relationship Id="rId51" Type="http://schemas.openxmlformats.org/officeDocument/2006/relationships/externalLink" Target="externalLinks/externalLink44.xml"/><Relationship Id="rId50" Type="http://schemas.openxmlformats.org/officeDocument/2006/relationships/externalLink" Target="externalLinks/externalLink43.xml"/><Relationship Id="rId5" Type="http://schemas.openxmlformats.org/officeDocument/2006/relationships/worksheet" Target="worksheets/sheet5.xml"/><Relationship Id="rId49" Type="http://schemas.openxmlformats.org/officeDocument/2006/relationships/externalLink" Target="externalLinks/externalLink42.xml"/><Relationship Id="rId48" Type="http://schemas.openxmlformats.org/officeDocument/2006/relationships/externalLink" Target="externalLinks/externalLink41.xml"/><Relationship Id="rId47" Type="http://schemas.openxmlformats.org/officeDocument/2006/relationships/externalLink" Target="externalLinks/externalLink40.xml"/><Relationship Id="rId46" Type="http://schemas.openxmlformats.org/officeDocument/2006/relationships/externalLink" Target="externalLinks/externalLink39.xml"/><Relationship Id="rId45" Type="http://schemas.openxmlformats.org/officeDocument/2006/relationships/externalLink" Target="externalLinks/externalLink38.xml"/><Relationship Id="rId44" Type="http://schemas.openxmlformats.org/officeDocument/2006/relationships/externalLink" Target="externalLinks/externalLink37.xml"/><Relationship Id="rId43" Type="http://schemas.openxmlformats.org/officeDocument/2006/relationships/externalLink" Target="externalLinks/externalLink36.xml"/><Relationship Id="rId42" Type="http://schemas.openxmlformats.org/officeDocument/2006/relationships/externalLink" Target="externalLinks/externalLink35.xml"/><Relationship Id="rId41" Type="http://schemas.openxmlformats.org/officeDocument/2006/relationships/externalLink" Target="externalLinks/externalLink34.xml"/><Relationship Id="rId40" Type="http://schemas.openxmlformats.org/officeDocument/2006/relationships/externalLink" Target="externalLinks/externalLink33.xml"/><Relationship Id="rId4" Type="http://schemas.openxmlformats.org/officeDocument/2006/relationships/worksheet" Target="worksheets/sheet4.xml"/><Relationship Id="rId39" Type="http://schemas.openxmlformats.org/officeDocument/2006/relationships/externalLink" Target="externalLinks/externalLink32.xml"/><Relationship Id="rId38" Type="http://schemas.openxmlformats.org/officeDocument/2006/relationships/externalLink" Target="externalLinks/externalLink31.xml"/><Relationship Id="rId37" Type="http://schemas.openxmlformats.org/officeDocument/2006/relationships/externalLink" Target="externalLinks/externalLink30.xml"/><Relationship Id="rId36" Type="http://schemas.openxmlformats.org/officeDocument/2006/relationships/externalLink" Target="externalLinks/externalLink29.xml"/><Relationship Id="rId35" Type="http://schemas.openxmlformats.org/officeDocument/2006/relationships/externalLink" Target="externalLinks/externalLink28.xml"/><Relationship Id="rId34" Type="http://schemas.openxmlformats.org/officeDocument/2006/relationships/externalLink" Target="externalLinks/externalLink27.xml"/><Relationship Id="rId33" Type="http://schemas.openxmlformats.org/officeDocument/2006/relationships/externalLink" Target="externalLinks/externalLink26.xml"/><Relationship Id="rId32" Type="http://schemas.openxmlformats.org/officeDocument/2006/relationships/externalLink" Target="externalLinks/externalLink25.xml"/><Relationship Id="rId31" Type="http://schemas.openxmlformats.org/officeDocument/2006/relationships/externalLink" Target="externalLinks/externalLink24.xml"/><Relationship Id="rId30" Type="http://schemas.openxmlformats.org/officeDocument/2006/relationships/externalLink" Target="externalLinks/externalLink23.xml"/><Relationship Id="rId3" Type="http://schemas.openxmlformats.org/officeDocument/2006/relationships/worksheet" Target="worksheets/sheet3.xml"/><Relationship Id="rId29" Type="http://schemas.openxmlformats.org/officeDocument/2006/relationships/externalLink" Target="externalLinks/externalLink22.xml"/><Relationship Id="rId28" Type="http://schemas.openxmlformats.org/officeDocument/2006/relationships/externalLink" Target="externalLinks/externalLink21.xml"/><Relationship Id="rId27" Type="http://schemas.openxmlformats.org/officeDocument/2006/relationships/externalLink" Target="externalLinks/externalLink20.xml"/><Relationship Id="rId26" Type="http://schemas.openxmlformats.org/officeDocument/2006/relationships/externalLink" Target="externalLinks/externalLink19.xml"/><Relationship Id="rId25" Type="http://schemas.openxmlformats.org/officeDocument/2006/relationships/externalLink" Target="externalLinks/externalLink18.xml"/><Relationship Id="rId24" Type="http://schemas.openxmlformats.org/officeDocument/2006/relationships/externalLink" Target="externalLinks/externalLink17.xml"/><Relationship Id="rId23" Type="http://schemas.openxmlformats.org/officeDocument/2006/relationships/externalLink" Target="externalLinks/externalLink16.xml"/><Relationship Id="rId22" Type="http://schemas.openxmlformats.org/officeDocument/2006/relationships/externalLink" Target="externalLinks/externalLink15.xml"/><Relationship Id="rId21" Type="http://schemas.openxmlformats.org/officeDocument/2006/relationships/externalLink" Target="externalLinks/externalLink14.xml"/><Relationship Id="rId20" Type="http://schemas.openxmlformats.org/officeDocument/2006/relationships/externalLink" Target="externalLinks/externalLink13.xml"/><Relationship Id="rId2" Type="http://schemas.openxmlformats.org/officeDocument/2006/relationships/worksheet" Target="worksheets/sheet2.xml"/><Relationship Id="rId19" Type="http://schemas.openxmlformats.org/officeDocument/2006/relationships/externalLink" Target="externalLinks/externalLink12.xml"/><Relationship Id="rId18" Type="http://schemas.openxmlformats.org/officeDocument/2006/relationships/externalLink" Target="externalLinks/externalLink11.xml"/><Relationship Id="rId17" Type="http://schemas.openxmlformats.org/officeDocument/2006/relationships/externalLink" Target="externalLinks/externalLink10.xml"/><Relationship Id="rId16" Type="http://schemas.openxmlformats.org/officeDocument/2006/relationships/externalLink" Target="externalLinks/externalLink9.xml"/><Relationship Id="rId15" Type="http://schemas.openxmlformats.org/officeDocument/2006/relationships/externalLink" Target="externalLinks/externalLink8.xml"/><Relationship Id="rId140" Type="http://schemas.openxmlformats.org/officeDocument/2006/relationships/sharedStrings" Target="sharedStrings.xml"/><Relationship Id="rId14" Type="http://schemas.openxmlformats.org/officeDocument/2006/relationships/externalLink" Target="externalLinks/externalLink7.xml"/><Relationship Id="rId139" Type="http://schemas.openxmlformats.org/officeDocument/2006/relationships/styles" Target="styles.xml"/><Relationship Id="rId138" Type="http://schemas.openxmlformats.org/officeDocument/2006/relationships/theme" Target="theme/theme1.xml"/><Relationship Id="rId137" Type="http://schemas.openxmlformats.org/officeDocument/2006/relationships/externalLink" Target="externalLinks/externalLink130.xml"/><Relationship Id="rId136" Type="http://schemas.openxmlformats.org/officeDocument/2006/relationships/externalLink" Target="externalLinks/externalLink129.xml"/><Relationship Id="rId135" Type="http://schemas.openxmlformats.org/officeDocument/2006/relationships/externalLink" Target="externalLinks/externalLink128.xml"/><Relationship Id="rId134" Type="http://schemas.openxmlformats.org/officeDocument/2006/relationships/externalLink" Target="externalLinks/externalLink127.xml"/><Relationship Id="rId133" Type="http://schemas.openxmlformats.org/officeDocument/2006/relationships/externalLink" Target="externalLinks/externalLink126.xml"/><Relationship Id="rId132" Type="http://schemas.openxmlformats.org/officeDocument/2006/relationships/externalLink" Target="externalLinks/externalLink125.xml"/><Relationship Id="rId131" Type="http://schemas.openxmlformats.org/officeDocument/2006/relationships/externalLink" Target="externalLinks/externalLink124.xml"/><Relationship Id="rId130" Type="http://schemas.openxmlformats.org/officeDocument/2006/relationships/externalLink" Target="externalLinks/externalLink123.xml"/><Relationship Id="rId13" Type="http://schemas.openxmlformats.org/officeDocument/2006/relationships/externalLink" Target="externalLinks/externalLink6.xml"/><Relationship Id="rId129" Type="http://schemas.openxmlformats.org/officeDocument/2006/relationships/externalLink" Target="externalLinks/externalLink122.xml"/><Relationship Id="rId128" Type="http://schemas.openxmlformats.org/officeDocument/2006/relationships/externalLink" Target="externalLinks/externalLink121.xml"/><Relationship Id="rId127" Type="http://schemas.openxmlformats.org/officeDocument/2006/relationships/externalLink" Target="externalLinks/externalLink120.xml"/><Relationship Id="rId126" Type="http://schemas.openxmlformats.org/officeDocument/2006/relationships/externalLink" Target="externalLinks/externalLink119.xml"/><Relationship Id="rId125" Type="http://schemas.openxmlformats.org/officeDocument/2006/relationships/externalLink" Target="externalLinks/externalLink118.xml"/><Relationship Id="rId124" Type="http://schemas.openxmlformats.org/officeDocument/2006/relationships/externalLink" Target="externalLinks/externalLink117.xml"/><Relationship Id="rId123" Type="http://schemas.openxmlformats.org/officeDocument/2006/relationships/externalLink" Target="externalLinks/externalLink116.xml"/><Relationship Id="rId122" Type="http://schemas.openxmlformats.org/officeDocument/2006/relationships/externalLink" Target="externalLinks/externalLink115.xml"/><Relationship Id="rId121" Type="http://schemas.openxmlformats.org/officeDocument/2006/relationships/externalLink" Target="externalLinks/externalLink114.xml"/><Relationship Id="rId120" Type="http://schemas.openxmlformats.org/officeDocument/2006/relationships/externalLink" Target="externalLinks/externalLink113.xml"/><Relationship Id="rId12" Type="http://schemas.openxmlformats.org/officeDocument/2006/relationships/externalLink" Target="externalLinks/externalLink5.xml"/><Relationship Id="rId119" Type="http://schemas.openxmlformats.org/officeDocument/2006/relationships/externalLink" Target="externalLinks/externalLink112.xml"/><Relationship Id="rId118" Type="http://schemas.openxmlformats.org/officeDocument/2006/relationships/externalLink" Target="externalLinks/externalLink111.xml"/><Relationship Id="rId117" Type="http://schemas.openxmlformats.org/officeDocument/2006/relationships/externalLink" Target="externalLinks/externalLink110.xml"/><Relationship Id="rId116" Type="http://schemas.openxmlformats.org/officeDocument/2006/relationships/externalLink" Target="externalLinks/externalLink109.xml"/><Relationship Id="rId115" Type="http://schemas.openxmlformats.org/officeDocument/2006/relationships/externalLink" Target="externalLinks/externalLink108.xml"/><Relationship Id="rId114" Type="http://schemas.openxmlformats.org/officeDocument/2006/relationships/externalLink" Target="externalLinks/externalLink107.xml"/><Relationship Id="rId113" Type="http://schemas.openxmlformats.org/officeDocument/2006/relationships/externalLink" Target="externalLinks/externalLink106.xml"/><Relationship Id="rId112" Type="http://schemas.openxmlformats.org/officeDocument/2006/relationships/externalLink" Target="externalLinks/externalLink105.xml"/><Relationship Id="rId111" Type="http://schemas.openxmlformats.org/officeDocument/2006/relationships/externalLink" Target="externalLinks/externalLink104.xml"/><Relationship Id="rId110" Type="http://schemas.openxmlformats.org/officeDocument/2006/relationships/externalLink" Target="externalLinks/externalLink103.xml"/><Relationship Id="rId11" Type="http://schemas.openxmlformats.org/officeDocument/2006/relationships/externalLink" Target="externalLinks/externalLink4.xml"/><Relationship Id="rId109" Type="http://schemas.openxmlformats.org/officeDocument/2006/relationships/externalLink" Target="externalLinks/externalLink102.xml"/><Relationship Id="rId108" Type="http://schemas.openxmlformats.org/officeDocument/2006/relationships/externalLink" Target="externalLinks/externalLink101.xml"/><Relationship Id="rId107" Type="http://schemas.openxmlformats.org/officeDocument/2006/relationships/externalLink" Target="externalLinks/externalLink100.xml"/><Relationship Id="rId106" Type="http://schemas.openxmlformats.org/officeDocument/2006/relationships/externalLink" Target="externalLinks/externalLink99.xml"/><Relationship Id="rId105" Type="http://schemas.openxmlformats.org/officeDocument/2006/relationships/externalLink" Target="externalLinks/externalLink98.xml"/><Relationship Id="rId104" Type="http://schemas.openxmlformats.org/officeDocument/2006/relationships/externalLink" Target="externalLinks/externalLink97.xml"/><Relationship Id="rId103" Type="http://schemas.openxmlformats.org/officeDocument/2006/relationships/externalLink" Target="externalLinks/externalLink96.xml"/><Relationship Id="rId102" Type="http://schemas.openxmlformats.org/officeDocument/2006/relationships/externalLink" Target="externalLinks/externalLink95.xml"/><Relationship Id="rId101" Type="http://schemas.openxmlformats.org/officeDocument/2006/relationships/externalLink" Target="externalLinks/externalLink94.xml"/><Relationship Id="rId100" Type="http://schemas.openxmlformats.org/officeDocument/2006/relationships/externalLink" Target="externalLinks/externalLink93.xml"/><Relationship Id="rId10" Type="http://schemas.openxmlformats.org/officeDocument/2006/relationships/externalLink" Target="externalLinks/externalLink3.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25105;&#30340;&#25991;&#26723;\Documents\WeChat%20Files\wxid_354x3irr6dde21\FileStorage\File\2019-07\&#32034;&#21363;&#21047;&#21333;&#25968;&#25454;-&#26195;&#26480;(1)(1).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Administrator\Documents\WeChat%20Files\wxid_354x3irr6dde21\FileStorage\File\2019-07\&#32034;&#21363;&#21047;&#21333;&#25968;&#25454;1-&#29642;7&#26376;(14)(1)(4).xlsx" TargetMode="External"/></Relationships>
</file>

<file path=xl/externalLinks/_rels/externalLink100.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26144;&#29642;(4).xlsx" TargetMode="External"/></Relationships>
</file>

<file path=xl/externalLinks/_rels/externalLink101.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32034;&#21363;SD&#25968;&#25454;-&#26195;&#26480;(9).xlsx" TargetMode="External"/></Relationships>
</file>

<file path=xl/externalLinks/_rels/externalLink102.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26144;&#29642;(5).xlsx" TargetMode="External"/></Relationships>
</file>

<file path=xl/externalLinks/_rels/externalLink103.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28009;&#20891;chenjinchuan(12)(3)(8).xlsx" TargetMode="External"/></Relationships>
</file>

<file path=xl/externalLinks/_rels/externalLink104.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32034;&#21363;&#21047;&#21333;&#25968;&#25454;-2&#29642;10&#20313;&#39069;.xlsx" TargetMode="External"/></Relationships>
</file>

<file path=xl/externalLinks/_rels/externalLink105.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32034;&#21363;&#21047;&#21333;&#25968;&#25454;-1&#29642;10&#26376;(7).xlsx" TargetMode="External"/></Relationships>
</file>

<file path=xl/externalLinks/_rels/externalLink106.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26144;&#29642;(6).xlsx" TargetMode="External"/></Relationships>
</file>

<file path=xl/externalLinks/_rels/externalLink107.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28009;&#20891;chenjinchuan(12)(3)(9).xlsx" TargetMode="External"/></Relationships>
</file>

<file path=xl/externalLinks/_rels/externalLink108.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32034;&#21363;SD&#25968;&#25454;-&#26195;&#26480;(10).xlsx" TargetMode="External"/></Relationships>
</file>

<file path=xl/externalLinks/_rels/externalLink109.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32034;&#21363;&#21047;&#21333;&#25968;&#25454;-1&#29642;10&#26376;(9).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Administrator\Documents\WeChat%20Files\wxid_354x3irr6dde21\FileStorage\File\2019-07\&#32034;&#21363;&#21047;&#21333;&#25968;&#25454;2-&#29642;7&#26376;(14)(1)(4).xlsx" TargetMode="External"/></Relationships>
</file>

<file path=xl/externalLinks/_rels/externalLink110.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32034;&#21363;&#21047;&#21333;&#25968;&#25454;-2&#29642;10&#26376;.xlsx" TargetMode="External"/></Relationships>
</file>

<file path=xl/externalLinks/_rels/externalLink111.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32034;&#21363;SD&#25968;&#25454;-&#26195;&#26480;(14).xlsx" TargetMode="External"/></Relationships>
</file>

<file path=xl/externalLinks/_rels/externalLink112.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28009;&#20891;chenjinchuan(12)(3)(13).xlsx" TargetMode="External"/></Relationships>
</file>

<file path=xl/externalLinks/_rels/externalLink113.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26144;&#29642;(10).xlsx" TargetMode="External"/></Relationships>
</file>

<file path=xl/externalLinks/_rels/externalLink114.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32034;&#21363;SD&#25968;&#25454;-&#26195;&#26480;(15).xlsx" TargetMode="External"/></Relationships>
</file>

<file path=xl/externalLinks/_rels/externalLink115.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32034;&#21363;&#21047;&#21333;&#25968;&#25454;-1&#29642;10&#26376;(13).xlsx" TargetMode="External"/></Relationships>
</file>

<file path=xl/externalLinks/_rels/externalLink116.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32034;&#21363;&#21047;&#21333;&#25968;&#25454;-2&#29642;10&#26376;(4).xlsx" TargetMode="External"/></Relationships>
</file>

<file path=xl/externalLinks/_rels/externalLink117.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27901;&#29983;&#25968;&#25454;&#34920;(3).xlsx" TargetMode="External"/></Relationships>
</file>

<file path=xl/externalLinks/_rels/externalLink118.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28009;&#20891;chenjinchuan(12)(3)(16).xlsx" TargetMode="External"/></Relationships>
</file>

<file path=xl/externalLinks/_rels/externalLink119.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26144;&#29642;(11).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Administrator\Documents\WeChat%20Files\wxid_354x3irr6dde21\FileStorage\File\2019-08\&#28009;&#20891;chenjinchuan(3).xlsx" TargetMode="External"/></Relationships>
</file>

<file path=xl/externalLinks/_rels/externalLink120.xml.rels><?xml version="1.0" encoding="UTF-8" standalone="yes"?>
<Relationships xmlns="http://schemas.openxmlformats.org/package/2006/relationships"><Relationship Id="rId1" Type="http://schemas.openxmlformats.org/officeDocument/2006/relationships/externalLinkPath" Target="file:///D:\&#25105;&#30340;&#25991;&#26723;\Documents\WeChat%20Files\wxid_354x3irr6dde21\FileStorage\File\2019-10\&#28009;&#20891;chenjinchuan(12)(3)(5).xlsx" TargetMode="External"/></Relationships>
</file>

<file path=xl/externalLinks/_rels/externalLink121.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32034;&#21363;SD&#25968;&#25454;-&#26195;&#26480;(16).xlsx" TargetMode="External"/></Relationships>
</file>

<file path=xl/externalLinks/_rels/externalLink122.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32034;&#21363;&#21047;&#21333;&#25968;&#25454;-2&#29642;10&#26376;(5).xlsx" TargetMode="External"/></Relationships>
</file>

<file path=xl/externalLinks/_rels/externalLink123.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32034;&#21363;&#21047;&#21333;&#25968;&#25454;-1&#29642;10&#26376;(14).xlsx" TargetMode="External"/></Relationships>
</file>

<file path=xl/externalLinks/_rels/externalLink124.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28009;&#20891;chenjinchuan(12)(3)(18).xlsx" TargetMode="External"/></Relationships>
</file>

<file path=xl/externalLinks/_rels/externalLink125.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26144;&#29642;(12).xlsx" TargetMode="External"/></Relationships>
</file>

<file path=xl/externalLinks/_rels/externalLink126.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27901;&#29983;&#25968;&#25454;&#34920;(4).xlsx" TargetMode="External"/></Relationships>
</file>

<file path=xl/externalLinks/_rels/externalLink127.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32034;&#21363;&#21047;&#21333;&#25968;&#25454;-1&#29642;10&#26376;(15).xlsx" TargetMode="External"/></Relationships>
</file>

<file path=xl/externalLinks/_rels/externalLink128.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32034;&#21363;&#21047;&#21333;&#25968;&#25454;-2&#29642;10&#26376;(6).xlsx" TargetMode="External"/></Relationships>
</file>

<file path=xl/externalLinks/_rels/externalLink129.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1\&#28009;&#20891;chenjinchuan(12)(3).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Users\Administrator\Documents\WeChat%20Files\wxid_354x3irr6dde21\FileStorage\File\2019-08\&#23567;&#20255;&#20869;&#34915;(3)(1).xlsx" TargetMode="External"/></Relationships>
</file>

<file path=xl/externalLinks/_rels/externalLink130.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1\&#27901;&#29983;&#25968;&#25454;&#34920;.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Users\Administrator\Documents\WeChat%20Files\wxid_354x3irr6dde21\FileStorage\File\2019-08\&#23567;&#20255;&#20869;&#34915;(5)(1).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Administrator\Documents\WeChat%20Files\wxid_354x3irr6dde21\FileStorage\File\2019-08\&#28009;&#20891;chenjinchuan(5).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Users\Administrator\Documents\WeChat%20Files\wxid_354x3irr6dde21\FileStorage\File\2019-08\&#32034;&#21363;SD&#25968;&#25454;-&#26195;&#26480;(4).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Administrator\Documents\WeChat%20Files\wxid_354x3irr6dde21\FileStorage\File\2019-08\&#32034;&#21363;&#21047;&#21333;&#25968;&#25454;-2&#29642;8&#26376;(4).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Users\Administrator\Documents\WeChat%20Files\wxid_354x3irr6dde21\FileStorage\File\2019-08\&#32034;&#21363;&#21047;&#21333;&#25968;&#25454;-1&#29642;8&#26376;(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Users\Administrator\Documents\WeChat%20Files\wxid_354x3irr6dde21\FileStorage\File\2019-08\&#28009;&#20891;chenjinchuan(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25105;&#30340;&#25991;&#26723;\Documents\WeChat%20Files\wxid_354x3irr6dde21\FileStorage\File\2019-07\&#32034;&#21363;&#21047;&#21333;&#25968;&#25454;2-&#29642;7&#26376;(11).xlsx"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Users\Administrator\Documents\WeChat%20Files\wxid_354x3irr6dde21\FileStorage\File\2019-08\&#23567;&#20255;&#20869;&#34915;(9)(1).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Users\Administrator\Documents\WeChat%20Files\wxid_354x3irr6dde21\FileStorage\File\2019-08\&#32034;&#21363;&#21047;&#21333;&#25968;&#25454;-2&#29642;8&#26376;(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Users\Administrator\Documents\WeChat%20Files\wxid_354x3irr6dde21\FileStorage\File\2019-08\&#32034;&#21363;&#21047;&#21333;&#25968;&#25454;-1&#29642;8&#26376;(7).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Users\Administrator\Documents\WeChat%20Files\wxid_354x3irr6dde21\FileStorage\File\2019-08\&#32034;&#21363;SD&#25968;&#25454;-&#26195;&#26480;(6).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Users\Administrator\Documents\WeChat%20Files\wxid_354x3irr6dde21\FileStorage\File\2019-08\&#32034;&#21363;SD&#25968;&#25454;-&#26195;&#26480;(7).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Users\Administrator\Documents\WeChat%20Files\wxid_354x3irr6dde21\FileStorage\File\2019-08\&#23567;&#20255;&#20869;&#34915;(10)(1).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Users\Administrator\Documents\WeChat%20Files\wxid_354x3irr6dde21\FileStorage\File\2019-08\&#32034;&#21363;&#21047;&#21333;&#25968;&#25454;-2&#29642;8&#26376;(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28009;&#20891;chenjinchuan(15).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23567;&#20255;&#20869;&#34915;(14)(1).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32034;&#21363;&#21047;&#21333;&#25968;&#25454;-2&#29642;8&#26376;(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25105;&#30340;&#25991;&#26723;\Documents\WeChat%20Files\wxid_354x3irr6dde21\FileStorage\File\2019-07\&#32034;&#21363;&#21047;&#21333;&#25968;&#25454;2-&#29642;7&#26376;(14)(1)(2).xlsx"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32034;&#21363;&#21047;&#21333;&#25968;&#25454;-1&#29642;8&#26376;(1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28009;&#20891;chenjinchuan(17).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32034;&#21363;&#21047;&#21333;&#25968;&#25454;-2&#29642;8&#26376;(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32034;&#21363;&#21047;&#21333;&#25968;&#25454;-1&#29642;8&#26376;(13).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32034;&#21363;SD&#25968;&#25454;-&#26195;&#26480;(2).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23567;&#20255;&#20869;&#34915;(16)(1).xlsx"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28009;&#20891;chenjinchuan(21).xlsx"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23567;&#20255;&#20869;&#34915;8.19(1).xlsx"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32034;&#21363;&#21047;&#21333;&#25968;&#25454;-2&#29642;8&#26376;(17).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32034;&#21363;&#21047;&#21333;&#25968;&#25454;-1&#29642;8&#26376;(1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25105;&#30340;&#25991;&#26723;\Documents\WeChat%20Files\wxid_354x3irr6dde21\FileStorage\File\2019-07\&#32034;&#21363;&#21047;&#21333;&#25968;&#25454;1-&#29642;7&#26376;(14)(1)(2).xlsx"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32034;&#21363;SD&#25968;&#25454;-&#26195;&#26480;(5).xlsx"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23567;&#20255;&#20869;&#34915;8.22(1).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28009;&#20891;chenjinchuan(28).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32034;&#21363;SD&#25968;&#25454;-&#26195;&#26480;.xlsx"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32034;&#21363;&#21047;&#21333;&#25968;&#25454;-2&#29642;8&#26376;(2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32034;&#21363;&#21047;&#21333;&#25968;&#25454;-1&#29642;8&#26376;(20).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28009;&#20891;chenjinchuan(31).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32034;&#21363;&#21047;&#21333;&#25968;&#25454;-2&#29642;8&#26376;(23).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32034;&#21363;&#21047;&#21333;&#25968;&#25454;-1&#29642;8&#26376;(23).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32034;&#21363;SD&#25968;&#25454;-&#26195;&#26480;(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25105;&#30340;&#25991;&#26723;\Documents\WeChat%20Files\wxid_354x3irr6dde21\FileStorage\File\2019-07\&#23567;&#20255;&#20869;&#34915;(12)(1).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28009;&#20891;chenjinchuan(36).xlsx"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32034;&#21363;&#21047;&#21333;&#25968;&#25454;-2&#29642;8&#26376;(28).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32034;&#21363;&#21047;&#21333;&#25968;&#25454;-1&#29642;8&#26376;(28).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26144;&#29642;&#25968;&#25454;.xlsx"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28009;&#20891;chenjinchuan(1).xlsx"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8\&#32034;&#21363;&#21047;&#21333;&#25968;&#25454;-2&#29642;8&#26376;(29).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32034;&#21363;&#21047;&#21333;&#25968;&#25454;-2&#29642;9&#26376;(3).xlsx"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32034;&#21363;&#21047;&#21333;&#25968;&#25454;-1&#29642;9&#26376;(3).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32034;&#21363;SD&#25968;&#25454;-&#26195;&#26480;(1).xlsx"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26144;&#2964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25105;&#30340;&#25991;&#26723;\Documents\WeChat%20Files\wxid_354x3irr6dde21\FileStorage\File\2019-07\&#32034;&#21363;&#21047;&#21333;&#25968;&#25454;-&#26195;&#26480;(4).xlsx"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28009;&#20891;chenjinchuan(5).xlsx"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32034;&#21363;&#21047;&#21333;&#25968;&#25454;-2&#29642;9&#26376;(7).xlsx"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32034;&#21363;&#21047;&#21333;&#25968;&#25454;-1&#29642;9&#26376;(7).xlsx"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28009;&#20891;chenjinchuan(9).xlsx"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32034;&#21363;SD&#25968;&#25454;-&#26195;&#26480;(2).xlsx"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26144;&#29642;(2).xlsx"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32034;&#21363;&#21047;&#21333;&#25968;&#25454;-2&#29642;9&#26376;(9).xlsx"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32034;&#21363;&#21047;&#21333;&#25968;&#25454;-1&#29642;9&#26376;(9).xlsx"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28009;&#20891;chenjinchuan(10).xlsx"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32034;&#21363;SD&#25968;&#25454;-&#26195;&#26480;(3).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Administrator\Documents\WeChat%20Files\wxid_354x3irr6dde21\FileStorage\File\2019-08\&#23567;&#20255;&#20869;&#34915;(1).xlsx"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28009;&#20891;chenjinchuan(11).xlsx"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26144;&#29642;(3).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32034;&#21363;&#21047;&#21333;&#25968;&#25454;-2&#29642;9&#26376;(13).xlsx"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32034;&#21363;&#21047;&#21333;&#25968;&#25454;-1&#29642;9&#26376;(13).xlsx"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28009;&#20891;chenjinchuan(12)(3).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32034;&#21363;SD&#25968;&#25454;-&#26195;&#26480;(5).xlsx"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32034;&#21363;&#21047;&#21333;&#25968;&#25454;-1&#29642;9&#26376;(19).xlsx"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32034;&#21363;&#21047;&#21333;&#25968;&#25454;-2&#29642;9&#26376;(19).xlsx"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28009;&#20891;chenjinchuan(12)(3)(7).xlsx"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32034;&#21363;&#21047;&#21333;&#25968;&#25454;-1&#29642;9&#2637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Administrator\Documents\WeChat%20Files\wxid_354x3irr6dde21\FileStorage\File\2019-08\&#28009;&#20891;chenjinchuan.xlsx"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32034;&#21363;&#21047;&#21333;&#25968;&#25454;-2&#29642;9&#26376;.xlsx"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09\&#26144;&#29642;(3)(1).xlsx"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D:\&#25105;&#30340;&#25991;&#26723;\Documents\WeChat%20Files\wxid_354x3irr6dde21\FileStorage\File\2019-09\&#32034;&#21363;&#21047;&#21333;&#25968;&#25454;-1&#29642;9&#26376;.xlsx"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D:\&#25105;&#30340;&#25991;&#26723;\Documents\WeChat%20Files\wxid_354x3irr6dde21\FileStorage\File\2019-09\&#28009;&#20891;chenjinchuan(12)(3).xlsx"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28009;&#20891;chenjinchuan(12)(3).xlsx"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32034;&#21363;&#21047;&#21333;&#25968;&#25454;-1&#29642;9&#26376;.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32034;&#21363;SD&#25968;&#25454;-&#26195;&#26480;(2).xlsx"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28009;&#20891;chenjinchuan(12)(3)(1).xlsx"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32034;&#21363;&#21047;&#21333;&#25968;&#25454;-1&#29642;10&#26376;.xlsx"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26144;&#2964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Administrator\Documents\WeChat%20Files\wxid_354x3irr6dde21\FileStorage\File\2019-08\&#32034;&#21363;SD&#25968;&#25454;-&#26195;&#26480;.xlsx"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32034;&#21363;SD&#25968;&#25454;-&#26195;&#26480;(4).xlsx" TargetMode="External"/></Relationships>
</file>

<file path=xl/externalLinks/_rels/externalLink91.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26144;&#29642;(1)(1).xlsx" TargetMode="External"/></Relationships>
</file>

<file path=xl/externalLinks/_rels/externalLink92.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32034;&#21363;&#21047;&#21333;&#25968;&#25454;-1&#29642;10&#26376;(1).xlsx" TargetMode="External"/></Relationships>
</file>

<file path=xl/externalLinks/_rels/externalLink93.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28009;&#20891;chenjinchuan(12)(3)(3).xlsx" TargetMode="External"/></Relationships>
</file>

<file path=xl/externalLinks/_rels/externalLink94.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28009;&#20891;chenjinchuan(12)(3)(5).xlsx" TargetMode="External"/></Relationships>
</file>

<file path=xl/externalLinks/_rels/externalLink95.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26144;&#29642;(3)(1).xlsx" TargetMode="External"/></Relationships>
</file>

<file path=xl/externalLinks/_rels/externalLink96.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32034;&#21363;&#21047;&#21333;&#25968;&#25454;-1&#29642;10&#26376;(4).xlsx" TargetMode="External"/></Relationships>
</file>

<file path=xl/externalLinks/_rels/externalLink97.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32034;&#21363;SD&#25968;&#25454;-&#26195;&#26480;(8).xlsx" TargetMode="External"/></Relationships>
</file>

<file path=xl/externalLinks/_rels/externalLink98.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32034;&#21363;&#21047;&#21333;&#25968;&#25454;-1&#29642;10&#26376;(5).xlsx" TargetMode="External"/></Relationships>
</file>

<file path=xl/externalLinks/_rels/externalLink99.xml.rels><?xml version="1.0" encoding="UTF-8" standalone="yes"?>
<Relationships xmlns="http://schemas.openxmlformats.org/package/2006/relationships"><Relationship Id="rId1" Type="http://schemas.openxmlformats.org/officeDocument/2006/relationships/externalLinkPath" Target="file:///D:\&#24494;&#20449;\WeChat%20Files\wxid_354x3irr6dde21\FileStorage\File\2019-10\&#28009;&#20891;chenjinchuan(12)(3)(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45">
          <cell r="B45">
            <v>241</v>
          </cell>
        </row>
        <row r="46">
          <cell r="B46">
            <v>378</v>
          </cell>
        </row>
        <row r="47">
          <cell r="B47">
            <v>10</v>
          </cell>
        </row>
        <row r="48">
          <cell r="B48">
            <v>54</v>
          </cell>
        </row>
        <row r="49">
          <cell r="B49">
            <v>731</v>
          </cell>
        </row>
        <row r="50">
          <cell r="B50">
            <v>0</v>
          </cell>
        </row>
        <row r="51">
          <cell r="B51">
            <v>49</v>
          </cell>
        </row>
        <row r="52">
          <cell r="B52">
            <v>0</v>
          </cell>
        </row>
        <row r="53">
          <cell r="B53">
            <v>109</v>
          </cell>
        </row>
        <row r="54">
          <cell r="B54">
            <v>10</v>
          </cell>
        </row>
      </sheetData>
      <sheetData sheetId="2"/>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31">
          <cell r="B31">
            <v>489</v>
          </cell>
        </row>
        <row r="32">
          <cell r="B32">
            <v>4149</v>
          </cell>
        </row>
        <row r="33">
          <cell r="B33">
            <v>1511</v>
          </cell>
        </row>
      </sheetData>
      <sheetData sheetId="2"/>
    </sheetDataSet>
  </externalBook>
</externalLink>
</file>

<file path=xl/externalLinks/externalLink100.xml><?xml version="1.0" encoding="utf-8"?>
<externalLink xmlns="http://schemas.openxmlformats.org/spreadsheetml/2006/main">
  <externalBook xmlns:r="http://schemas.openxmlformats.org/officeDocument/2006/relationships" r:id="rId1">
    <sheetNames>
      <sheetName val="好评返现微信"/>
      <sheetName val="好评返现对账"/>
      <sheetName val="晓杰微信"/>
      <sheetName val="晓杰微信对账"/>
    </sheetNames>
    <sheetDataSet>
      <sheetData sheetId="0"/>
      <sheetData sheetId="1">
        <row r="118">
          <cell r="B118">
            <v>234.82</v>
          </cell>
        </row>
      </sheetData>
      <sheetData sheetId="2"/>
      <sheetData sheetId="3"/>
    </sheetDataSet>
  </externalBook>
</externalLink>
</file>

<file path=xl/externalLinks/externalLink101.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138">
          <cell r="B138">
            <v>74</v>
          </cell>
        </row>
        <row r="139">
          <cell r="B139">
            <v>148</v>
          </cell>
        </row>
      </sheetData>
      <sheetData sheetId="2"/>
    </sheetDataSet>
  </externalBook>
</externalLink>
</file>

<file path=xl/externalLinks/externalLink102.xml><?xml version="1.0" encoding="utf-8"?>
<externalLink xmlns="http://schemas.openxmlformats.org/spreadsheetml/2006/main">
  <externalBook xmlns:r="http://schemas.openxmlformats.org/officeDocument/2006/relationships" r:id="rId1">
    <sheetNames>
      <sheetName val="好评返现微信"/>
      <sheetName val="好评返现对账"/>
      <sheetName val="晓杰微信"/>
      <sheetName val="晓杰微信对账"/>
    </sheetNames>
    <sheetDataSet>
      <sheetData sheetId="0"/>
      <sheetData sheetId="1">
        <row r="119">
          <cell r="B119">
            <v>628.82</v>
          </cell>
        </row>
        <row r="120">
          <cell r="B120">
            <v>0</v>
          </cell>
        </row>
        <row r="121">
          <cell r="B121">
            <v>253</v>
          </cell>
        </row>
        <row r="122">
          <cell r="B122">
            <v>45</v>
          </cell>
        </row>
      </sheetData>
      <sheetData sheetId="2"/>
      <sheetData sheetId="3"/>
    </sheetDataSet>
  </externalBook>
</externalLink>
</file>

<file path=xl/externalLinks/externalLink103.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117">
          <cell r="B117">
            <v>4939.82</v>
          </cell>
        </row>
        <row r="118">
          <cell r="B118">
            <v>4234.96</v>
          </cell>
        </row>
        <row r="119">
          <cell r="B119">
            <v>4409.64</v>
          </cell>
        </row>
      </sheetData>
    </sheetDataSet>
  </externalBook>
</externalLink>
</file>

<file path=xl/externalLinks/externalLink104.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17">
          <cell r="E17">
            <v>1554</v>
          </cell>
        </row>
        <row r="18">
          <cell r="E18">
            <v>2300.82</v>
          </cell>
        </row>
      </sheetData>
      <sheetData sheetId="2"/>
    </sheetDataSet>
  </externalBook>
</externalLink>
</file>

<file path=xl/externalLinks/externalLink105.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16">
          <cell r="E16">
            <v>4282.46</v>
          </cell>
        </row>
        <row r="17">
          <cell r="E17">
            <v>3629.1</v>
          </cell>
        </row>
        <row r="18">
          <cell r="E18">
            <v>2750.82</v>
          </cell>
        </row>
      </sheetData>
      <sheetData sheetId="2"/>
    </sheetDataSet>
  </externalBook>
</externalLink>
</file>

<file path=xl/externalLinks/externalLink106.xml><?xml version="1.0" encoding="utf-8"?>
<externalLink xmlns="http://schemas.openxmlformats.org/spreadsheetml/2006/main">
  <externalBook xmlns:r="http://schemas.openxmlformats.org/officeDocument/2006/relationships" r:id="rId1">
    <sheetNames>
      <sheetName val="好评返现微信"/>
      <sheetName val="好评返现对账"/>
      <sheetName val="晓杰微信"/>
      <sheetName val="晓杰微信对账"/>
    </sheetNames>
    <sheetDataSet>
      <sheetData sheetId="0"/>
      <sheetData sheetId="1">
        <row r="123">
          <cell r="B123">
            <v>522</v>
          </cell>
        </row>
      </sheetData>
      <sheetData sheetId="2"/>
      <sheetData sheetId="3"/>
    </sheetDataSet>
  </externalBook>
</externalLink>
</file>

<file path=xl/externalLinks/externalLink107.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120">
          <cell r="B120">
            <v>8807</v>
          </cell>
        </row>
      </sheetData>
    </sheetDataSet>
  </externalBook>
</externalLink>
</file>

<file path=xl/externalLinks/externalLink108.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141">
          <cell r="B141">
            <v>99</v>
          </cell>
        </row>
        <row r="142">
          <cell r="B142">
            <v>50</v>
          </cell>
        </row>
      </sheetData>
      <sheetData sheetId="2"/>
    </sheetDataSet>
  </externalBook>
</externalLink>
</file>

<file path=xl/externalLinks/externalLink109.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20">
          <cell r="E20">
            <v>2664.64</v>
          </cell>
        </row>
        <row r="21">
          <cell r="E21">
            <v>1597.82</v>
          </cell>
        </row>
        <row r="22">
          <cell r="E22">
            <v>3272.5</v>
          </cell>
        </row>
        <row r="23">
          <cell r="E23">
            <v>1110</v>
          </cell>
        </row>
      </sheetData>
      <sheetData sheetId="2"/>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31">
          <cell r="B31">
            <v>4562</v>
          </cell>
        </row>
        <row r="32">
          <cell r="B32">
            <v>2850</v>
          </cell>
        </row>
        <row r="33">
          <cell r="B33">
            <v>3562</v>
          </cell>
        </row>
      </sheetData>
      <sheetData sheetId="2"/>
    </sheetDataSet>
  </externalBook>
</externalLink>
</file>

<file path=xl/externalLinks/externalLink110.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20">
          <cell r="E20">
            <v>2091.82</v>
          </cell>
        </row>
        <row r="21">
          <cell r="E21">
            <v>3254</v>
          </cell>
        </row>
        <row r="23">
          <cell r="E23">
            <v>3876.18</v>
          </cell>
        </row>
      </sheetData>
      <sheetData sheetId="2"/>
    </sheetDataSet>
  </externalBook>
</externalLink>
</file>

<file path=xl/externalLinks/externalLink111.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143">
          <cell r="B143">
            <v>10</v>
          </cell>
        </row>
        <row r="144">
          <cell r="B144">
            <v>217</v>
          </cell>
        </row>
        <row r="145">
          <cell r="B145">
            <v>74</v>
          </cell>
        </row>
        <row r="146">
          <cell r="B146">
            <v>303.82</v>
          </cell>
        </row>
      </sheetData>
      <sheetData sheetId="2"/>
    </sheetDataSet>
  </externalBook>
</externalLink>
</file>

<file path=xl/externalLinks/externalLink112.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121">
          <cell r="B121">
            <v>3309</v>
          </cell>
        </row>
        <row r="122">
          <cell r="B122">
            <v>3450.82</v>
          </cell>
        </row>
        <row r="123">
          <cell r="B123">
            <v>3801.64</v>
          </cell>
        </row>
      </sheetData>
    </sheetDataSet>
  </externalBook>
</externalLink>
</file>

<file path=xl/externalLinks/externalLink113.xml><?xml version="1.0" encoding="utf-8"?>
<externalLink xmlns="http://schemas.openxmlformats.org/spreadsheetml/2006/main">
  <externalBook xmlns:r="http://schemas.openxmlformats.org/officeDocument/2006/relationships" r:id="rId1">
    <sheetNames>
      <sheetName val="好评返现微信"/>
      <sheetName val="好评返现对账"/>
      <sheetName val="晓杰微信"/>
      <sheetName val="晓杰微信对账"/>
    </sheetNames>
    <sheetDataSet>
      <sheetData sheetId="0"/>
      <sheetData sheetId="1">
        <row r="124">
          <cell r="B124">
            <v>1080.82</v>
          </cell>
        </row>
        <row r="125">
          <cell r="B125">
            <v>956.64</v>
          </cell>
        </row>
        <row r="126">
          <cell r="B126">
            <v>539.82</v>
          </cell>
        </row>
        <row r="127">
          <cell r="B127">
            <v>645</v>
          </cell>
        </row>
      </sheetData>
      <sheetData sheetId="2"/>
      <sheetData sheetId="3"/>
    </sheetDataSet>
  </externalBook>
</externalLink>
</file>

<file path=xl/externalLinks/externalLink114.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147">
          <cell r="B147">
            <v>162</v>
          </cell>
        </row>
        <row r="148">
          <cell r="B148">
            <v>2985.1</v>
          </cell>
        </row>
        <row r="149">
          <cell r="B149">
            <v>398.95</v>
          </cell>
        </row>
        <row r="151">
          <cell r="B151">
            <v>363.46</v>
          </cell>
        </row>
        <row r="152">
          <cell r="B152">
            <v>196</v>
          </cell>
        </row>
      </sheetData>
      <sheetData sheetId="2"/>
    </sheetDataSet>
  </externalBook>
</externalLink>
</file>

<file path=xl/externalLinks/externalLink115.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24">
          <cell r="E24">
            <v>459</v>
          </cell>
        </row>
        <row r="25">
          <cell r="E25">
            <v>2074.14</v>
          </cell>
        </row>
        <row r="26">
          <cell r="E26">
            <v>1282</v>
          </cell>
        </row>
        <row r="27">
          <cell r="E27">
            <v>1878.82</v>
          </cell>
        </row>
        <row r="28">
          <cell r="E28">
            <v>1569</v>
          </cell>
        </row>
        <row r="29">
          <cell r="E29">
            <v>3120.23</v>
          </cell>
        </row>
      </sheetData>
      <sheetData sheetId="2"/>
    </sheetDataSet>
  </externalBook>
</externalLink>
</file>

<file path=xl/externalLinks/externalLink116.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24">
          <cell r="E24">
            <v>4738</v>
          </cell>
        </row>
        <row r="25">
          <cell r="E25">
            <v>3630.72</v>
          </cell>
        </row>
        <row r="26">
          <cell r="E26">
            <v>4904.84</v>
          </cell>
        </row>
        <row r="27">
          <cell r="E27">
            <v>4146.64</v>
          </cell>
        </row>
        <row r="28">
          <cell r="E28">
            <v>3197.56</v>
          </cell>
        </row>
        <row r="29">
          <cell r="E29">
            <v>851</v>
          </cell>
        </row>
      </sheetData>
      <sheetData sheetId="2"/>
    </sheetDataSet>
  </externalBook>
</externalLink>
</file>

<file path=xl/externalLinks/externalLink117.xml><?xml version="1.0" encoding="utf-8"?>
<externalLink xmlns="http://schemas.openxmlformats.org/spreadsheetml/2006/main">
  <externalBook xmlns:r="http://schemas.openxmlformats.org/officeDocument/2006/relationships" r:id="rId1">
    <sheetNames>
      <sheetName val="数据"/>
      <sheetName val="对账"/>
      <sheetName val="Sheet3"/>
    </sheetNames>
    <sheetDataSet>
      <sheetData sheetId="0"/>
      <sheetData sheetId="1">
        <row r="2">
          <cell r="B2">
            <v>118</v>
          </cell>
        </row>
        <row r="3">
          <cell r="B3">
            <v>2316</v>
          </cell>
        </row>
        <row r="4">
          <cell r="B4">
            <v>315</v>
          </cell>
        </row>
        <row r="5">
          <cell r="B5">
            <v>408.8</v>
          </cell>
        </row>
        <row r="6">
          <cell r="B6">
            <v>993</v>
          </cell>
        </row>
        <row r="7">
          <cell r="B7">
            <v>3043.9</v>
          </cell>
        </row>
      </sheetData>
      <sheetData sheetId="2"/>
    </sheetDataSet>
  </externalBook>
</externalLink>
</file>

<file path=xl/externalLinks/externalLink118.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124">
          <cell r="B124">
            <v>3776</v>
          </cell>
        </row>
        <row r="125">
          <cell r="B125">
            <v>4004.82</v>
          </cell>
        </row>
        <row r="126">
          <cell r="B126">
            <v>5421.64</v>
          </cell>
        </row>
      </sheetData>
      <sheetData sheetId="2"/>
    </sheetDataSet>
  </externalBook>
</externalLink>
</file>

<file path=xl/externalLinks/externalLink119.xml><?xml version="1.0" encoding="utf-8"?>
<externalLink xmlns="http://schemas.openxmlformats.org/spreadsheetml/2006/main">
  <externalBook xmlns:r="http://schemas.openxmlformats.org/officeDocument/2006/relationships" r:id="rId1">
    <sheetNames>
      <sheetName val="好评返现微信"/>
      <sheetName val="好评返现对账"/>
      <sheetName val="晓杰微信"/>
      <sheetName val="晓杰微信对账"/>
    </sheetNames>
    <sheetDataSet>
      <sheetData sheetId="0"/>
      <sheetData sheetId="1">
        <row r="128">
          <cell r="B128">
            <v>546</v>
          </cell>
        </row>
        <row r="129">
          <cell r="B129">
            <v>0</v>
          </cell>
        </row>
        <row r="130">
          <cell r="B130">
            <v>50</v>
          </cell>
        </row>
        <row r="131">
          <cell r="B131">
            <v>75</v>
          </cell>
        </row>
        <row r="132">
          <cell r="B132">
            <v>311</v>
          </cell>
        </row>
      </sheetData>
      <sheetData sheetId="2"/>
      <sheetData sheetId="3"/>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37">
          <cell r="B37">
            <v>1821</v>
          </cell>
        </row>
        <row r="38">
          <cell r="B38">
            <v>1885</v>
          </cell>
        </row>
        <row r="39">
          <cell r="B39">
            <v>1709</v>
          </cell>
        </row>
      </sheetData>
    </sheetDataSet>
  </externalBook>
</externalLink>
</file>

<file path=xl/externalLinks/externalLink120.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refreshError="1"/>
      <sheetData sheetId="1">
        <row r="128">
          <cell r="B128">
            <v>4879</v>
          </cell>
        </row>
        <row r="129">
          <cell r="B129">
            <v>4766.6</v>
          </cell>
        </row>
        <row r="130">
          <cell r="B130">
            <v>3897</v>
          </cell>
        </row>
      </sheetData>
      <sheetData sheetId="2" refreshError="1"/>
    </sheetDataSet>
  </externalBook>
</externalLink>
</file>

<file path=xl/externalLinks/externalLink121.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153">
          <cell r="B153">
            <v>79</v>
          </cell>
        </row>
        <row r="154">
          <cell r="B154">
            <v>212</v>
          </cell>
        </row>
        <row r="155">
          <cell r="B155">
            <v>354.9</v>
          </cell>
        </row>
      </sheetData>
      <sheetData sheetId="2"/>
    </sheetDataSet>
  </externalBook>
</externalLink>
</file>

<file path=xl/externalLinks/externalLink122.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30">
          <cell r="E30">
            <v>2493.82</v>
          </cell>
        </row>
        <row r="31">
          <cell r="E31">
            <v>2585.64</v>
          </cell>
        </row>
      </sheetData>
      <sheetData sheetId="2"/>
    </sheetDataSet>
  </externalBook>
</externalLink>
</file>

<file path=xl/externalLinks/externalLink123.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30">
          <cell r="E30">
            <v>2296.84</v>
          </cell>
        </row>
        <row r="31">
          <cell r="E31">
            <v>2460.58</v>
          </cell>
        </row>
      </sheetData>
      <sheetData sheetId="2"/>
    </sheetDataSet>
  </externalBook>
</externalLink>
</file>

<file path=xl/externalLinks/externalLink124.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131">
          <cell r="B131">
            <v>4053.52</v>
          </cell>
        </row>
        <row r="132">
          <cell r="B132">
            <v>4205.82</v>
          </cell>
        </row>
        <row r="133">
          <cell r="B133">
            <v>4403.8</v>
          </cell>
        </row>
      </sheetData>
      <sheetData sheetId="2"/>
    </sheetDataSet>
  </externalBook>
</externalLink>
</file>

<file path=xl/externalLinks/externalLink125.xml><?xml version="1.0" encoding="utf-8"?>
<externalLink xmlns="http://schemas.openxmlformats.org/spreadsheetml/2006/main">
  <externalBook xmlns:r="http://schemas.openxmlformats.org/officeDocument/2006/relationships" r:id="rId1">
    <sheetNames>
      <sheetName val="好评返现微信"/>
      <sheetName val="好评返现对账"/>
      <sheetName val="晓杰微信"/>
      <sheetName val="晓杰微信对账"/>
    </sheetNames>
    <sheetDataSet>
      <sheetData sheetId="0"/>
      <sheetData sheetId="1">
        <row r="133">
          <cell r="B133">
            <v>30</v>
          </cell>
        </row>
        <row r="134">
          <cell r="B134">
            <v>35</v>
          </cell>
        </row>
        <row r="135">
          <cell r="B135">
            <v>447</v>
          </cell>
        </row>
        <row r="136">
          <cell r="B136">
            <v>133</v>
          </cell>
        </row>
      </sheetData>
      <sheetData sheetId="2"/>
      <sheetData sheetId="3"/>
    </sheetDataSet>
  </externalBook>
</externalLink>
</file>

<file path=xl/externalLinks/externalLink126.xml><?xml version="1.0" encoding="utf-8"?>
<externalLink xmlns="http://schemas.openxmlformats.org/spreadsheetml/2006/main">
  <externalBook xmlns:r="http://schemas.openxmlformats.org/officeDocument/2006/relationships" r:id="rId1">
    <sheetNames>
      <sheetName val="数据"/>
      <sheetName val="对账"/>
      <sheetName val="Sheet3"/>
    </sheetNames>
    <sheetDataSet>
      <sheetData sheetId="0"/>
      <sheetData sheetId="1">
        <row r="8">
          <cell r="B8">
            <v>2781.92</v>
          </cell>
        </row>
        <row r="9">
          <cell r="B9">
            <v>2720.74</v>
          </cell>
        </row>
        <row r="10">
          <cell r="B10">
            <v>1863.22</v>
          </cell>
        </row>
      </sheetData>
      <sheetData sheetId="2"/>
    </sheetDataSet>
  </externalBook>
</externalLink>
</file>

<file path=xl/externalLinks/externalLink127.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32">
          <cell r="E32">
            <v>4497.64</v>
          </cell>
        </row>
        <row r="33">
          <cell r="E33">
            <v>1397.64</v>
          </cell>
        </row>
      </sheetData>
      <sheetData sheetId="2"/>
    </sheetDataSet>
  </externalBook>
</externalLink>
</file>

<file path=xl/externalLinks/externalLink128.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32">
          <cell r="E32">
            <v>559</v>
          </cell>
        </row>
        <row r="33">
          <cell r="E33">
            <v>4105.82</v>
          </cell>
        </row>
      </sheetData>
      <sheetData sheetId="2"/>
    </sheetDataSet>
  </externalBook>
</externalLink>
</file>

<file path=xl/externalLinks/externalLink129.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134">
          <cell r="B134">
            <v>4560.82</v>
          </cell>
        </row>
      </sheetData>
      <sheetData sheetId="2"/>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好评返现微信"/>
      <sheetName val="好评返现对账"/>
    </sheetNames>
    <sheetDataSet>
      <sheetData sheetId="0"/>
      <sheetData sheetId="1">
        <row r="45">
          <cell r="B45">
            <v>2269</v>
          </cell>
        </row>
        <row r="46">
          <cell r="B46">
            <v>2143</v>
          </cell>
        </row>
        <row r="47">
          <cell r="B47">
            <v>2268</v>
          </cell>
        </row>
      </sheetData>
    </sheetDataSet>
  </externalBook>
</externalLink>
</file>

<file path=xl/externalLinks/externalLink130.xml><?xml version="1.0" encoding="utf-8"?>
<externalLink xmlns="http://schemas.openxmlformats.org/spreadsheetml/2006/main">
  <externalBook xmlns:r="http://schemas.openxmlformats.org/officeDocument/2006/relationships" r:id="rId1">
    <sheetNames>
      <sheetName val="数据"/>
      <sheetName val="对账"/>
      <sheetName val="Sheet3"/>
    </sheetNames>
    <sheetDataSet>
      <sheetData sheetId="0"/>
      <sheetData sheetId="1">
        <row r="11">
          <cell r="B11">
            <v>1900.34</v>
          </cell>
        </row>
      </sheetData>
      <sheetData sheetId="2"/>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好评返现微信"/>
      <sheetName val="好评返现对账"/>
      <sheetName val="晓杰微信"/>
      <sheetName val="晓杰微信对账"/>
      <sheetName val="Sheet1"/>
    </sheetNames>
    <sheetDataSet>
      <sheetData sheetId="0"/>
      <sheetData sheetId="1">
        <row r="48">
          <cell r="B48">
            <v>2217</v>
          </cell>
        </row>
        <row r="49">
          <cell r="B49">
            <v>2303</v>
          </cell>
        </row>
      </sheetData>
      <sheetData sheetId="2"/>
      <sheetData sheetId="3"/>
      <sheetData sheetId="4"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40">
          <cell r="B40">
            <v>1638</v>
          </cell>
        </row>
        <row r="41">
          <cell r="B41">
            <v>1807</v>
          </cell>
        </row>
      </sheetData>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70">
          <cell r="B70">
            <v>187</v>
          </cell>
        </row>
        <row r="71">
          <cell r="B71">
            <v>64</v>
          </cell>
        </row>
      </sheetData>
      <sheetData sheetId="2"/>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3">
          <cell r="B3">
            <v>2455</v>
          </cell>
        </row>
        <row r="4">
          <cell r="B4">
            <v>3630</v>
          </cell>
        </row>
        <row r="5">
          <cell r="B5">
            <v>4278</v>
          </cell>
        </row>
        <row r="6">
          <cell r="B6">
            <v>4770</v>
          </cell>
        </row>
        <row r="7">
          <cell r="B7">
            <v>2187</v>
          </cell>
        </row>
      </sheetData>
      <sheetData sheetId="2"/>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3">
          <cell r="B3">
            <v>2198</v>
          </cell>
        </row>
        <row r="4">
          <cell r="B4">
            <v>1240</v>
          </cell>
        </row>
        <row r="5">
          <cell r="B5">
            <v>499</v>
          </cell>
        </row>
        <row r="6">
          <cell r="B6">
            <v>528</v>
          </cell>
        </row>
        <row r="7">
          <cell r="B7">
            <v>2685</v>
          </cell>
        </row>
      </sheetData>
      <sheetData sheetId="2"/>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42">
          <cell r="B42">
            <v>1889</v>
          </cell>
        </row>
        <row r="43">
          <cell r="B43">
            <v>1902</v>
          </cell>
        </row>
        <row r="44">
          <cell r="B44">
            <v>2745</v>
          </cell>
        </row>
        <row r="45">
          <cell r="B45">
            <v>1745</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25">
          <cell r="B25">
            <v>2381</v>
          </cell>
        </row>
        <row r="26">
          <cell r="B26">
            <v>3030</v>
          </cell>
        </row>
        <row r="27">
          <cell r="B27">
            <v>4049</v>
          </cell>
        </row>
      </sheetData>
      <sheetData sheetId="2"/>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好评返现微信"/>
      <sheetName val="好评返现对账"/>
      <sheetName val="晓杰微信"/>
      <sheetName val="晓杰微信对账"/>
    </sheetNames>
    <sheetDataSet>
      <sheetData sheetId="0"/>
      <sheetData sheetId="1">
        <row r="50">
          <cell r="B50">
            <v>1705</v>
          </cell>
        </row>
        <row r="51">
          <cell r="B51">
            <v>651</v>
          </cell>
        </row>
        <row r="52">
          <cell r="B52">
            <v>2243</v>
          </cell>
        </row>
      </sheetData>
      <sheetData sheetId="2"/>
      <sheetData sheetId="3"/>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8">
          <cell r="E8">
            <v>1553</v>
          </cell>
        </row>
        <row r="9">
          <cell r="E9">
            <v>3115</v>
          </cell>
        </row>
        <row r="11">
          <cell r="E11">
            <v>3665.4</v>
          </cell>
        </row>
      </sheetData>
      <sheetData sheetId="2"/>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8">
          <cell r="E8">
            <v>3114</v>
          </cell>
        </row>
        <row r="9">
          <cell r="E9">
            <v>2021</v>
          </cell>
        </row>
        <row r="11">
          <cell r="E11">
            <v>1481.6</v>
          </cell>
        </row>
      </sheetData>
      <sheetData sheetId="2"/>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72">
          <cell r="B72">
            <v>5</v>
          </cell>
        </row>
        <row r="73">
          <cell r="B73">
            <v>84</v>
          </cell>
        </row>
      </sheetData>
      <sheetData sheetId="2"/>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refreshError="1"/>
      <sheetData sheetId="1">
        <row r="74">
          <cell r="B74">
            <v>249.3</v>
          </cell>
        </row>
        <row r="75">
          <cell r="B75">
            <v>10</v>
          </cell>
        </row>
        <row r="76">
          <cell r="B76">
            <v>15</v>
          </cell>
        </row>
      </sheetData>
      <sheetData sheetId="2"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好评返现微信"/>
      <sheetName val="好评返现对账"/>
      <sheetName val="晓杰微信"/>
      <sheetName val="晓杰微信对账"/>
    </sheetNames>
    <sheetDataSet>
      <sheetData sheetId="0"/>
      <sheetData sheetId="1">
        <row r="53">
          <cell r="B53">
            <v>1458.6</v>
          </cell>
        </row>
      </sheetData>
      <sheetData sheetId="2"/>
      <sheetData sheetId="3"/>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refreshError="1"/>
      <sheetData sheetId="1">
        <row r="12">
          <cell r="E12">
            <v>2751</v>
          </cell>
        </row>
      </sheetData>
      <sheetData sheetId="2"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48">
          <cell r="B48">
            <v>3863</v>
          </cell>
        </row>
        <row r="49">
          <cell r="B49">
            <v>3227</v>
          </cell>
        </row>
      </sheetData>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好评返现微信"/>
      <sheetName val="好评返现对账"/>
      <sheetName val="晓杰微信"/>
      <sheetName val="晓杰微信对账"/>
    </sheetNames>
    <sheetDataSet>
      <sheetData sheetId="0"/>
      <sheetData sheetId="1">
        <row r="54">
          <cell r="B54">
            <v>1461</v>
          </cell>
        </row>
        <row r="55">
          <cell r="B55">
            <v>4758</v>
          </cell>
        </row>
        <row r="56">
          <cell r="B56">
            <v>946</v>
          </cell>
        </row>
        <row r="57">
          <cell r="B57">
            <v>815</v>
          </cell>
        </row>
      </sheetData>
      <sheetData sheetId="2"/>
      <sheetData sheetId="3">
        <row r="7">
          <cell r="H7">
            <v>237</v>
          </cell>
        </row>
        <row r="8">
          <cell r="H8">
            <v>15</v>
          </cell>
        </row>
        <row r="9">
          <cell r="H9">
            <v>257</v>
          </cell>
        </row>
      </sheetData>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15">
          <cell r="E15">
            <v>1690</v>
          </cell>
        </row>
        <row r="16">
          <cell r="E16">
            <v>1580</v>
          </cell>
        </row>
      </sheetData>
      <sheetData sheetId="2"/>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refreshError="1"/>
      <sheetData sheetId="1">
        <row r="30">
          <cell r="B30">
            <v>2134</v>
          </cell>
        </row>
      </sheetData>
      <sheetData sheetId="2" refreshError="1"/>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14">
          <cell r="E14">
            <v>3311</v>
          </cell>
        </row>
        <row r="15">
          <cell r="E15">
            <v>3531</v>
          </cell>
        </row>
      </sheetData>
      <sheetData sheetId="2"/>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51">
          <cell r="B51">
            <v>3567</v>
          </cell>
        </row>
        <row r="53">
          <cell r="B53">
            <v>3619</v>
          </cell>
        </row>
      </sheetData>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17">
          <cell r="E17">
            <v>1256</v>
          </cell>
        </row>
        <row r="18">
          <cell r="E18">
            <v>4313</v>
          </cell>
        </row>
        <row r="19">
          <cell r="E19">
            <v>5373</v>
          </cell>
        </row>
      </sheetData>
      <sheetData sheetId="2"/>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16">
          <cell r="E16">
            <v>3434</v>
          </cell>
        </row>
        <row r="17">
          <cell r="E17">
            <v>1010</v>
          </cell>
        </row>
        <row r="18">
          <cell r="E18">
            <v>385</v>
          </cell>
        </row>
      </sheetData>
      <sheetData sheetId="2"/>
    </sheetDataSet>
  </externalBook>
</externalLink>
</file>

<file path=xl/externalLinks/externalLink34.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78">
          <cell r="B78">
            <v>196</v>
          </cell>
        </row>
        <row r="79">
          <cell r="B79">
            <v>1537</v>
          </cell>
        </row>
        <row r="80">
          <cell r="B80">
            <v>687</v>
          </cell>
        </row>
      </sheetData>
      <sheetData sheetId="2"/>
    </sheetDataSet>
  </externalBook>
</externalLink>
</file>

<file path=xl/externalLinks/externalLink35.xml><?xml version="1.0" encoding="utf-8"?>
<externalLink xmlns="http://schemas.openxmlformats.org/spreadsheetml/2006/main">
  <externalBook xmlns:r="http://schemas.openxmlformats.org/officeDocument/2006/relationships" r:id="rId1">
    <sheetNames>
      <sheetName val="好评返现微信"/>
      <sheetName val="好评返现对账"/>
      <sheetName val="晓杰微信"/>
      <sheetName val="晓杰微信对账"/>
    </sheetNames>
    <sheetDataSet>
      <sheetData sheetId="0"/>
      <sheetData sheetId="1">
        <row r="59">
          <cell r="B59">
            <v>1216</v>
          </cell>
        </row>
        <row r="60">
          <cell r="B60">
            <v>1486</v>
          </cell>
        </row>
        <row r="61">
          <cell r="B61">
            <v>85</v>
          </cell>
        </row>
      </sheetData>
      <sheetData sheetId="2"/>
      <sheetData sheetId="3">
        <row r="11">
          <cell r="H11">
            <v>2292</v>
          </cell>
        </row>
        <row r="12">
          <cell r="H12">
            <v>5</v>
          </cell>
        </row>
      </sheetData>
    </sheetDataSet>
  </externalBook>
</externalLink>
</file>

<file path=xl/externalLinks/externalLink36.xml><?xml version="1.0" encoding="utf-8"?>
<externalLink xmlns="http://schemas.openxmlformats.org/spreadsheetml/2006/main">
  <externalBook xmlns:r="http://schemas.openxmlformats.org/officeDocument/2006/relationships" r:id="rId1">
    <sheetNames>
      <sheetName val="刷单"/>
      <sheetName val="对账"/>
    </sheetNames>
    <sheetDataSet>
      <sheetData sheetId="0" refreshError="1"/>
      <sheetData sheetId="1">
        <row r="54">
          <cell r="B54">
            <v>3901</v>
          </cell>
        </row>
        <row r="55">
          <cell r="B55">
            <v>3581</v>
          </cell>
        </row>
        <row r="56">
          <cell r="B56">
            <v>3681</v>
          </cell>
        </row>
      </sheetData>
    </sheetDataSet>
  </externalBook>
</externalLink>
</file>

<file path=xl/externalLinks/externalLink37.xml><?xml version="1.0" encoding="utf-8"?>
<externalLink xmlns="http://schemas.openxmlformats.org/spreadsheetml/2006/main">
  <externalBook xmlns:r="http://schemas.openxmlformats.org/officeDocument/2006/relationships" r:id="rId1">
    <sheetNames>
      <sheetName val="好评返现微信"/>
      <sheetName val="好评返现对账"/>
      <sheetName val="晓杰微信"/>
      <sheetName val="晓杰微信对账"/>
    </sheetNames>
    <sheetDataSet>
      <sheetData sheetId="0" refreshError="1"/>
      <sheetData sheetId="1">
        <row r="62">
          <cell r="B62">
            <v>471</v>
          </cell>
        </row>
        <row r="63">
          <cell r="B63">
            <v>75</v>
          </cell>
        </row>
      </sheetData>
      <sheetData sheetId="2" refreshError="1"/>
      <sheetData sheetId="3">
        <row r="13">
          <cell r="H13">
            <v>208</v>
          </cell>
        </row>
        <row r="14">
          <cell r="H14">
            <v>94</v>
          </cell>
        </row>
      </sheetData>
    </sheetDataSet>
  </externalBook>
</externalLink>
</file>

<file path=xl/externalLinks/externalLink38.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refreshError="1"/>
      <sheetData sheetId="1">
        <row r="20">
          <cell r="E20">
            <v>2174</v>
          </cell>
        </row>
        <row r="21">
          <cell r="E21">
            <v>3625</v>
          </cell>
        </row>
        <row r="22">
          <cell r="E22">
            <v>4034</v>
          </cell>
        </row>
      </sheetData>
      <sheetData sheetId="2" refreshError="1"/>
    </sheetDataSet>
  </externalBook>
</externalLink>
</file>

<file path=xl/externalLinks/externalLink39.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refreshError="1"/>
      <sheetData sheetId="1">
        <row r="19">
          <cell r="E19">
            <v>3272</v>
          </cell>
        </row>
        <row r="20">
          <cell r="E20">
            <v>887</v>
          </cell>
        </row>
        <row r="21">
          <cell r="E21">
            <v>813</v>
          </cell>
        </row>
      </sheetData>
      <sheetData sheetId="2"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refreshError="1"/>
      <sheetData sheetId="1">
        <row r="28">
          <cell r="B28">
            <v>1301</v>
          </cell>
        </row>
        <row r="29">
          <cell r="B29">
            <v>2307</v>
          </cell>
        </row>
        <row r="30">
          <cell r="B30">
            <v>3383</v>
          </cell>
        </row>
      </sheetData>
      <sheetData sheetId="2" refreshError="1"/>
    </sheetDataSet>
  </externalBook>
</externalLink>
</file>

<file path=xl/externalLinks/externalLink40.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81">
          <cell r="B81">
            <v>217</v>
          </cell>
        </row>
        <row r="82">
          <cell r="B82">
            <v>5</v>
          </cell>
        </row>
        <row r="83">
          <cell r="B83">
            <v>250.9</v>
          </cell>
        </row>
        <row r="89">
          <cell r="B89">
            <v>656</v>
          </cell>
        </row>
        <row r="90">
          <cell r="B90">
            <v>364</v>
          </cell>
        </row>
        <row r="91">
          <cell r="B91">
            <v>516.9</v>
          </cell>
        </row>
        <row r="92">
          <cell r="B92">
            <v>517</v>
          </cell>
        </row>
        <row r="93">
          <cell r="B93">
            <v>435</v>
          </cell>
        </row>
      </sheetData>
      <sheetData sheetId="2"/>
    </sheetDataSet>
  </externalBook>
</externalLink>
</file>

<file path=xl/externalLinks/externalLink41.xml><?xml version="1.0" encoding="utf-8"?>
<externalLink xmlns="http://schemas.openxmlformats.org/spreadsheetml/2006/main">
  <externalBook xmlns:r="http://schemas.openxmlformats.org/officeDocument/2006/relationships" r:id="rId1">
    <sheetNames>
      <sheetName val="好评返现微信"/>
      <sheetName val="好评返现对账"/>
      <sheetName val="晓杰微信"/>
      <sheetName val="晓杰微信对账"/>
    </sheetNames>
    <sheetDataSet>
      <sheetData sheetId="0"/>
      <sheetData sheetId="1">
        <row r="64">
          <cell r="B64">
            <v>33</v>
          </cell>
        </row>
        <row r="65">
          <cell r="B65">
            <v>20</v>
          </cell>
        </row>
        <row r="66">
          <cell r="B66">
            <v>40</v>
          </cell>
        </row>
      </sheetData>
      <sheetData sheetId="2"/>
      <sheetData sheetId="3">
        <row r="15">
          <cell r="H15">
            <v>25</v>
          </cell>
        </row>
        <row r="16">
          <cell r="H16">
            <v>30</v>
          </cell>
        </row>
      </sheetData>
    </sheetDataSet>
  </externalBook>
</externalLink>
</file>

<file path=xl/externalLinks/externalLink42.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57">
          <cell r="B57">
            <v>3752</v>
          </cell>
        </row>
        <row r="58">
          <cell r="B58">
            <v>3823</v>
          </cell>
        </row>
        <row r="59">
          <cell r="B59">
            <v>3581</v>
          </cell>
        </row>
      </sheetData>
    </sheetDataSet>
  </externalBook>
</externalLink>
</file>

<file path=xl/externalLinks/externalLink43.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84">
          <cell r="B84">
            <v>280</v>
          </cell>
        </row>
        <row r="85">
          <cell r="B85">
            <v>55</v>
          </cell>
        </row>
        <row r="86">
          <cell r="B86">
            <v>752.9</v>
          </cell>
        </row>
      </sheetData>
      <sheetData sheetId="2"/>
    </sheetDataSet>
  </externalBook>
</externalLink>
</file>

<file path=xl/externalLinks/externalLink44.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23">
          <cell r="E23">
            <v>1892</v>
          </cell>
        </row>
        <row r="24">
          <cell r="E24">
            <v>3405</v>
          </cell>
        </row>
        <row r="25">
          <cell r="E25">
            <v>4211.9</v>
          </cell>
        </row>
      </sheetData>
      <sheetData sheetId="2"/>
    </sheetDataSet>
  </externalBook>
</externalLink>
</file>

<file path=xl/externalLinks/externalLink45.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22">
          <cell r="E22">
            <v>3172</v>
          </cell>
        </row>
        <row r="23">
          <cell r="E23">
            <v>1688</v>
          </cell>
        </row>
        <row r="24">
          <cell r="E24">
            <v>272</v>
          </cell>
        </row>
      </sheetData>
      <sheetData sheetId="2"/>
    </sheetDataSet>
  </externalBook>
</externalLink>
</file>

<file path=xl/externalLinks/externalLink46.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60">
          <cell r="B60">
            <v>3580.9</v>
          </cell>
        </row>
        <row r="61">
          <cell r="B61">
            <v>3683.9</v>
          </cell>
        </row>
        <row r="62">
          <cell r="B62">
            <v>3764</v>
          </cell>
        </row>
      </sheetData>
    </sheetDataSet>
  </externalBook>
</externalLink>
</file>

<file path=xl/externalLinks/externalLink47.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26">
          <cell r="E26">
            <v>1877</v>
          </cell>
        </row>
        <row r="27">
          <cell r="E27">
            <v>1419</v>
          </cell>
        </row>
        <row r="28">
          <cell r="E28">
            <v>4217</v>
          </cell>
        </row>
      </sheetData>
      <sheetData sheetId="2"/>
    </sheetDataSet>
  </externalBook>
</externalLink>
</file>

<file path=xl/externalLinks/externalLink48.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25">
          <cell r="E25">
            <v>2965.9</v>
          </cell>
        </row>
        <row r="26">
          <cell r="E26">
            <v>3444</v>
          </cell>
        </row>
        <row r="27">
          <cell r="E27">
            <v>936</v>
          </cell>
        </row>
      </sheetData>
      <sheetData sheetId="2"/>
    </sheetDataSet>
  </externalBook>
</externalLink>
</file>

<file path=xl/externalLinks/externalLink49.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87">
          <cell r="B87">
            <v>419</v>
          </cell>
        </row>
        <row r="88">
          <cell r="B88">
            <v>433</v>
          </cell>
        </row>
      </sheetData>
      <sheetData sheetId="2"/>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好评返现微信"/>
      <sheetName val="好评返现对账"/>
    </sheetNames>
    <sheetDataSet>
      <sheetData sheetId="0" refreshError="1"/>
      <sheetData sheetId="1">
        <row r="39">
          <cell r="B39">
            <v>2583</v>
          </cell>
        </row>
        <row r="40">
          <cell r="B40">
            <v>2479</v>
          </cell>
        </row>
        <row r="41">
          <cell r="B41">
            <v>2301</v>
          </cell>
        </row>
      </sheetData>
    </sheetDataSet>
  </externalBook>
</externalLink>
</file>

<file path=xl/externalLinks/externalLink50.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63">
          <cell r="B63">
            <v>3714</v>
          </cell>
        </row>
        <row r="64">
          <cell r="B64">
            <v>4278</v>
          </cell>
        </row>
        <row r="65">
          <cell r="B65">
            <v>3814</v>
          </cell>
        </row>
        <row r="66">
          <cell r="B66">
            <v>3284.6</v>
          </cell>
        </row>
        <row r="67">
          <cell r="B67">
            <v>3451.9</v>
          </cell>
        </row>
      </sheetData>
    </sheetDataSet>
  </externalBook>
</externalLink>
</file>

<file path=xl/externalLinks/externalLink51.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29">
          <cell r="E29">
            <v>3617</v>
          </cell>
        </row>
        <row r="30">
          <cell r="E30">
            <v>3574</v>
          </cell>
        </row>
        <row r="31">
          <cell r="E31">
            <v>2437</v>
          </cell>
        </row>
        <row r="32">
          <cell r="E32">
            <v>3651.2</v>
          </cell>
        </row>
        <row r="33">
          <cell r="E33">
            <v>845.8</v>
          </cell>
        </row>
      </sheetData>
      <sheetData sheetId="2"/>
    </sheetDataSet>
  </externalBook>
</externalLink>
</file>

<file path=xl/externalLinks/externalLink52.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28">
          <cell r="E28">
            <v>1089</v>
          </cell>
        </row>
        <row r="29">
          <cell r="E29">
            <v>849</v>
          </cell>
        </row>
        <row r="30">
          <cell r="E30">
            <v>2524</v>
          </cell>
        </row>
        <row r="31">
          <cell r="E31">
            <v>846.4</v>
          </cell>
        </row>
        <row r="32">
          <cell r="E32">
            <v>3384.8</v>
          </cell>
        </row>
      </sheetData>
      <sheetData sheetId="2"/>
    </sheetDataSet>
  </externalBook>
</externalLink>
</file>

<file path=xl/externalLinks/externalLink53.xml><?xml version="1.0" encoding="utf-8"?>
<externalLink xmlns="http://schemas.openxmlformats.org/spreadsheetml/2006/main">
  <externalBook xmlns:r="http://schemas.openxmlformats.org/officeDocument/2006/relationships" r:id="rId1">
    <sheetNames>
      <sheetName val="好评返现微信"/>
      <sheetName val="好评返现对账"/>
      <sheetName val="晓杰微信"/>
      <sheetName val="晓杰微信对账"/>
    </sheetNames>
    <sheetDataSet>
      <sheetData sheetId="0"/>
      <sheetData sheetId="1">
        <row r="69">
          <cell r="B69">
            <v>23</v>
          </cell>
        </row>
        <row r="71">
          <cell r="B71">
            <v>113</v>
          </cell>
        </row>
        <row r="72">
          <cell r="B72">
            <v>427</v>
          </cell>
        </row>
        <row r="73">
          <cell r="B73">
            <v>361.4</v>
          </cell>
        </row>
      </sheetData>
      <sheetData sheetId="2"/>
      <sheetData sheetId="3"/>
    </sheetDataSet>
  </externalBook>
</externalLink>
</file>

<file path=xl/externalLinks/externalLink54.xml><?xml version="1.0" encoding="utf-8"?>
<externalLink xmlns="http://schemas.openxmlformats.org/spreadsheetml/2006/main">
  <externalBook xmlns:r="http://schemas.openxmlformats.org/officeDocument/2006/relationships" r:id="rId1">
    <sheetNames>
      <sheetName val="刷单"/>
      <sheetName val="对账"/>
    </sheetNames>
    <sheetDataSet>
      <sheetData sheetId="0" refreshError="1"/>
      <sheetData sheetId="1">
        <row r="68">
          <cell r="B68">
            <v>3242</v>
          </cell>
        </row>
        <row r="71">
          <cell r="B71">
            <v>3415</v>
          </cell>
        </row>
      </sheetData>
    </sheetDataSet>
  </externalBook>
</externalLink>
</file>

<file path=xl/externalLinks/externalLink55.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34">
          <cell r="E34">
            <v>1457.8</v>
          </cell>
        </row>
      </sheetData>
      <sheetData sheetId="2"/>
    </sheetDataSet>
  </externalBook>
</externalLink>
</file>

<file path=xl/externalLinks/externalLink56.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4">
          <cell r="E4">
            <v>2727</v>
          </cell>
        </row>
        <row r="5">
          <cell r="E5">
            <v>1644</v>
          </cell>
        </row>
        <row r="6">
          <cell r="E6">
            <v>3804</v>
          </cell>
        </row>
      </sheetData>
      <sheetData sheetId="2"/>
    </sheetDataSet>
  </externalBook>
</externalLink>
</file>

<file path=xl/externalLinks/externalLink57.xml><?xml version="1.0" encoding="utf-8"?>
<externalLink xmlns="http://schemas.openxmlformats.org/spreadsheetml/2006/main">
  <externalBook xmlns:r="http://schemas.openxmlformats.org/officeDocument/2006/relationships" r:id="rId1">
    <sheetNames>
      <sheetName val="刷单"/>
      <sheetName val="账单"/>
    </sheetNames>
    <sheetDataSet>
      <sheetData sheetId="0"/>
      <sheetData sheetId="1">
        <row r="4">
          <cell r="E4">
            <v>2183</v>
          </cell>
        </row>
        <row r="5">
          <cell r="E5">
            <v>3047</v>
          </cell>
        </row>
        <row r="6">
          <cell r="E6">
            <v>874</v>
          </cell>
        </row>
      </sheetData>
    </sheetDataSet>
  </externalBook>
</externalLink>
</file>

<file path=xl/externalLinks/externalLink58.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97">
          <cell r="B97">
            <v>365</v>
          </cell>
        </row>
        <row r="98">
          <cell r="B98">
            <v>266</v>
          </cell>
        </row>
        <row r="99">
          <cell r="B99">
            <v>336</v>
          </cell>
        </row>
      </sheetData>
      <sheetData sheetId="2"/>
    </sheetDataSet>
  </externalBook>
</externalLink>
</file>

<file path=xl/externalLinks/externalLink59.xml><?xml version="1.0" encoding="utf-8"?>
<externalLink xmlns="http://schemas.openxmlformats.org/spreadsheetml/2006/main">
  <externalBook xmlns:r="http://schemas.openxmlformats.org/officeDocument/2006/relationships" r:id="rId1">
    <sheetNames>
      <sheetName val="好评返现微信"/>
      <sheetName val="好评返现对账"/>
      <sheetName val="晓杰微信"/>
      <sheetName val="晓杰微信对账"/>
    </sheetNames>
    <sheetDataSet>
      <sheetData sheetId="0"/>
      <sheetData sheetId="1">
        <row r="77">
          <cell r="B77">
            <v>604</v>
          </cell>
        </row>
        <row r="78">
          <cell r="B78">
            <v>389</v>
          </cell>
        </row>
        <row r="79">
          <cell r="B79">
            <v>84</v>
          </cell>
        </row>
        <row r="80">
          <cell r="B80">
            <v>343</v>
          </cell>
        </row>
        <row r="91">
          <cell r="B91">
            <v>5</v>
          </cell>
        </row>
        <row r="92">
          <cell r="B92">
            <v>330</v>
          </cell>
        </row>
        <row r="93">
          <cell r="B93">
            <v>305</v>
          </cell>
        </row>
        <row r="94">
          <cell r="B94">
            <v>290</v>
          </cell>
        </row>
      </sheetData>
      <sheetData sheetId="2"/>
      <sheetData sheetId="3"/>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55">
          <cell r="B55">
            <v>0</v>
          </cell>
        </row>
        <row r="56">
          <cell r="B56">
            <v>138</v>
          </cell>
        </row>
        <row r="57">
          <cell r="B57">
            <v>0</v>
          </cell>
        </row>
        <row r="58">
          <cell r="B58">
            <v>158</v>
          </cell>
        </row>
        <row r="59">
          <cell r="B59">
            <v>0</v>
          </cell>
        </row>
        <row r="60">
          <cell r="B60">
            <v>10</v>
          </cell>
        </row>
      </sheetData>
      <sheetData sheetId="2"/>
    </sheetDataSet>
  </externalBook>
</externalLink>
</file>

<file path=xl/externalLinks/externalLink60.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73">
          <cell r="B73">
            <v>3755</v>
          </cell>
        </row>
        <row r="74">
          <cell r="B74">
            <v>4142</v>
          </cell>
        </row>
      </sheetData>
    </sheetDataSet>
  </externalBook>
</externalLink>
</file>

<file path=xl/externalLinks/externalLink61.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8">
          <cell r="E8">
            <v>3156</v>
          </cell>
        </row>
        <row r="10">
          <cell r="E10">
            <v>1572</v>
          </cell>
        </row>
      </sheetData>
      <sheetData sheetId="2"/>
    </sheetDataSet>
  </externalBook>
</externalLink>
</file>

<file path=xl/externalLinks/externalLink62.xml><?xml version="1.0" encoding="utf-8"?>
<externalLink xmlns="http://schemas.openxmlformats.org/spreadsheetml/2006/main">
  <externalBook xmlns:r="http://schemas.openxmlformats.org/officeDocument/2006/relationships" r:id="rId1">
    <sheetNames>
      <sheetName val="刷单"/>
      <sheetName val="账单"/>
    </sheetNames>
    <sheetDataSet>
      <sheetData sheetId="0"/>
      <sheetData sheetId="1">
        <row r="7">
          <cell r="E7">
            <v>2224</v>
          </cell>
        </row>
        <row r="9">
          <cell r="E9">
            <v>2481</v>
          </cell>
        </row>
        <row r="10">
          <cell r="E10">
            <v>2578</v>
          </cell>
        </row>
      </sheetData>
    </sheetDataSet>
  </externalBook>
</externalLink>
</file>

<file path=xl/externalLinks/externalLink63.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75">
          <cell r="B75">
            <v>3504</v>
          </cell>
        </row>
        <row r="76">
          <cell r="B76">
            <v>3602</v>
          </cell>
        </row>
        <row r="78">
          <cell r="B78">
            <v>3904</v>
          </cell>
        </row>
      </sheetData>
    </sheetDataSet>
  </externalBook>
</externalLink>
</file>

<file path=xl/externalLinks/externalLink64.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100">
          <cell r="B100">
            <v>183</v>
          </cell>
        </row>
        <row r="101">
          <cell r="B101">
            <v>158</v>
          </cell>
        </row>
        <row r="102">
          <cell r="B102">
            <v>601</v>
          </cell>
        </row>
        <row r="117">
          <cell r="B117">
            <v>65</v>
          </cell>
        </row>
        <row r="118">
          <cell r="B118">
            <v>15</v>
          </cell>
        </row>
        <row r="119">
          <cell r="B119">
            <v>10</v>
          </cell>
        </row>
        <row r="120">
          <cell r="B120">
            <v>5</v>
          </cell>
        </row>
        <row r="121">
          <cell r="B121">
            <v>10</v>
          </cell>
        </row>
      </sheetData>
      <sheetData sheetId="2"/>
    </sheetDataSet>
  </externalBook>
</externalLink>
</file>

<file path=xl/externalLinks/externalLink65.xml><?xml version="1.0" encoding="utf-8"?>
<externalLink xmlns="http://schemas.openxmlformats.org/spreadsheetml/2006/main">
  <externalBook xmlns:r="http://schemas.openxmlformats.org/officeDocument/2006/relationships" r:id="rId1">
    <sheetNames>
      <sheetName val="好评返现微信"/>
      <sheetName val="好评返现对账"/>
      <sheetName val="晓杰微信"/>
      <sheetName val="晓杰微信对账"/>
    </sheetNames>
    <sheetDataSet>
      <sheetData sheetId="0"/>
      <sheetData sheetId="1">
        <row r="81">
          <cell r="B81">
            <v>718</v>
          </cell>
        </row>
        <row r="82">
          <cell r="B82">
            <v>94</v>
          </cell>
        </row>
        <row r="83">
          <cell r="B83">
            <v>315</v>
          </cell>
        </row>
      </sheetData>
      <sheetData sheetId="2"/>
      <sheetData sheetId="3"/>
    </sheetDataSet>
  </externalBook>
</externalLink>
</file>

<file path=xl/externalLinks/externalLink66.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11">
          <cell r="E11">
            <v>3603</v>
          </cell>
        </row>
        <row r="12">
          <cell r="E12">
            <v>2964</v>
          </cell>
        </row>
      </sheetData>
      <sheetData sheetId="2"/>
    </sheetDataSet>
  </externalBook>
</externalLink>
</file>

<file path=xl/externalLinks/externalLink67.xml><?xml version="1.0" encoding="utf-8"?>
<externalLink xmlns="http://schemas.openxmlformats.org/spreadsheetml/2006/main">
  <externalBook xmlns:r="http://schemas.openxmlformats.org/officeDocument/2006/relationships" r:id="rId1">
    <sheetNames>
      <sheetName val="刷单"/>
      <sheetName val="账单"/>
    </sheetNames>
    <sheetDataSet>
      <sheetData sheetId="0"/>
      <sheetData sheetId="1">
        <row r="11">
          <cell r="E11">
            <v>1138</v>
          </cell>
        </row>
        <row r="12">
          <cell r="E12">
            <v>952</v>
          </cell>
        </row>
      </sheetData>
    </sheetDataSet>
  </externalBook>
</externalLink>
</file>

<file path=xl/externalLinks/externalLink68.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79">
          <cell r="B79">
            <v>3687</v>
          </cell>
        </row>
      </sheetData>
    </sheetDataSet>
  </externalBook>
</externalLink>
</file>

<file path=xl/externalLinks/externalLink69.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103">
          <cell r="B103">
            <v>739</v>
          </cell>
        </row>
        <row r="104">
          <cell r="B104">
            <v>1204.9</v>
          </cell>
        </row>
      </sheetData>
      <sheetData sheetId="2"/>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好评返现微信"/>
      <sheetName val="好评返现对账"/>
    </sheetNames>
    <sheetDataSet>
      <sheetData sheetId="0"/>
      <sheetData sheetId="1">
        <row r="42">
          <cell r="B42">
            <v>2243</v>
          </cell>
        </row>
        <row r="43">
          <cell r="B43">
            <v>1838</v>
          </cell>
        </row>
        <row r="44">
          <cell r="B44">
            <v>2324</v>
          </cell>
        </row>
      </sheetData>
    </sheetDataSet>
  </externalBook>
</externalLink>
</file>

<file path=xl/externalLinks/externalLink70.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80">
          <cell r="B80">
            <v>4149</v>
          </cell>
        </row>
      </sheetData>
    </sheetDataSet>
  </externalBook>
</externalLink>
</file>

<file path=xl/externalLinks/externalLink71.xml><?xml version="1.0" encoding="utf-8"?>
<externalLink xmlns="http://schemas.openxmlformats.org/spreadsheetml/2006/main">
  <externalBook xmlns:r="http://schemas.openxmlformats.org/officeDocument/2006/relationships" r:id="rId1">
    <sheetNames>
      <sheetName val="好评返现微信"/>
      <sheetName val="好评返现对账"/>
      <sheetName val="晓杰微信"/>
      <sheetName val="晓杰微信对账"/>
    </sheetNames>
    <sheetDataSet>
      <sheetData sheetId="0"/>
      <sheetData sheetId="1">
        <row r="84">
          <cell r="B84">
            <v>123</v>
          </cell>
        </row>
        <row r="85">
          <cell r="B85">
            <v>55</v>
          </cell>
        </row>
        <row r="86">
          <cell r="B86">
            <v>28</v>
          </cell>
        </row>
        <row r="87">
          <cell r="B87">
            <v>15</v>
          </cell>
        </row>
        <row r="88">
          <cell r="B88">
            <v>128</v>
          </cell>
        </row>
      </sheetData>
      <sheetData sheetId="2"/>
      <sheetData sheetId="3"/>
    </sheetDataSet>
  </externalBook>
</externalLink>
</file>

<file path=xl/externalLinks/externalLink72.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13">
          <cell r="E13">
            <v>3316.9</v>
          </cell>
        </row>
        <row r="14">
          <cell r="E14">
            <v>1137</v>
          </cell>
        </row>
        <row r="15">
          <cell r="E15">
            <v>459</v>
          </cell>
        </row>
      </sheetData>
      <sheetData sheetId="2"/>
    </sheetDataSet>
  </externalBook>
</externalLink>
</file>

<file path=xl/externalLinks/externalLink73.xml><?xml version="1.0" encoding="utf-8"?>
<externalLink xmlns="http://schemas.openxmlformats.org/spreadsheetml/2006/main">
  <externalBook xmlns:r="http://schemas.openxmlformats.org/officeDocument/2006/relationships" r:id="rId1">
    <sheetNames>
      <sheetName val="刷单"/>
      <sheetName val="账单"/>
    </sheetNames>
    <sheetDataSet>
      <sheetData sheetId="0"/>
      <sheetData sheetId="1">
        <row r="13">
          <cell r="E13">
            <v>430</v>
          </cell>
        </row>
        <row r="14">
          <cell r="E14">
            <v>2701</v>
          </cell>
        </row>
        <row r="15">
          <cell r="E15">
            <v>3567</v>
          </cell>
        </row>
        <row r="17">
          <cell r="E17">
            <v>1453</v>
          </cell>
        </row>
      </sheetData>
    </sheetDataSet>
  </externalBook>
</externalLink>
</file>

<file path=xl/externalLinks/externalLink74.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81">
          <cell r="B81">
            <v>4322</v>
          </cell>
        </row>
        <row r="82">
          <cell r="B82">
            <v>3760</v>
          </cell>
        </row>
        <row r="83">
          <cell r="B83">
            <v>2974</v>
          </cell>
        </row>
        <row r="84">
          <cell r="B84">
            <v>7044</v>
          </cell>
        </row>
        <row r="85">
          <cell r="B85">
            <v>1135</v>
          </cell>
        </row>
        <row r="92">
          <cell r="B92">
            <v>3676</v>
          </cell>
        </row>
        <row r="93">
          <cell r="B93">
            <v>4102</v>
          </cell>
        </row>
        <row r="94">
          <cell r="B94">
            <v>4478</v>
          </cell>
        </row>
        <row r="95">
          <cell r="B95">
            <v>3674</v>
          </cell>
        </row>
        <row r="96">
          <cell r="B96">
            <v>3764</v>
          </cell>
        </row>
      </sheetData>
    </sheetDataSet>
  </externalBook>
</externalLink>
</file>

<file path=xl/externalLinks/externalLink75.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106">
          <cell r="B106">
            <v>104</v>
          </cell>
        </row>
        <row r="107">
          <cell r="B107">
            <v>30</v>
          </cell>
        </row>
        <row r="108">
          <cell r="B108">
            <v>217</v>
          </cell>
        </row>
        <row r="109">
          <cell r="B109">
            <v>94</v>
          </cell>
        </row>
        <row r="110">
          <cell r="B110">
            <v>1486</v>
          </cell>
        </row>
      </sheetData>
      <sheetData sheetId="2"/>
    </sheetDataSet>
  </externalBook>
</externalLink>
</file>

<file path=xl/externalLinks/externalLink76.xml><?xml version="1.0" encoding="utf-8"?>
<externalLink xmlns="http://schemas.openxmlformats.org/spreadsheetml/2006/main">
  <externalBook xmlns:r="http://schemas.openxmlformats.org/officeDocument/2006/relationships" r:id="rId1">
    <sheetNames>
      <sheetName val="刷单"/>
      <sheetName val="账单"/>
    </sheetNames>
    <sheetDataSet>
      <sheetData sheetId="0"/>
      <sheetData sheetId="1">
        <row r="18">
          <cell r="E18">
            <v>386</v>
          </cell>
        </row>
        <row r="19">
          <cell r="E19">
            <v>445</v>
          </cell>
        </row>
        <row r="20">
          <cell r="E20">
            <v>1058</v>
          </cell>
        </row>
        <row r="21">
          <cell r="E21">
            <v>2625</v>
          </cell>
        </row>
        <row r="22">
          <cell r="E22">
            <v>696</v>
          </cell>
        </row>
        <row r="23">
          <cell r="E23">
            <v>921</v>
          </cell>
        </row>
      </sheetData>
    </sheetDataSet>
  </externalBook>
</externalLink>
</file>

<file path=xl/externalLinks/externalLink77.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17">
          <cell r="E17">
            <v>3716</v>
          </cell>
        </row>
        <row r="18">
          <cell r="E18">
            <v>3586</v>
          </cell>
        </row>
        <row r="19">
          <cell r="E19">
            <v>3952</v>
          </cell>
        </row>
        <row r="20">
          <cell r="E20">
            <v>3633</v>
          </cell>
        </row>
        <row r="21">
          <cell r="E21">
            <v>1294</v>
          </cell>
        </row>
        <row r="22">
          <cell r="E22">
            <v>3264</v>
          </cell>
        </row>
        <row r="23">
          <cell r="E23">
            <v>3929</v>
          </cell>
        </row>
      </sheetData>
      <sheetData sheetId="2"/>
    </sheetDataSet>
  </externalBook>
</externalLink>
</file>

<file path=xl/externalLinks/externalLink78.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86">
          <cell r="B86">
            <v>3511</v>
          </cell>
        </row>
        <row r="87">
          <cell r="B87">
            <v>3911</v>
          </cell>
        </row>
        <row r="88">
          <cell r="B88">
            <v>3906</v>
          </cell>
        </row>
        <row r="90">
          <cell r="B90">
            <v>3792</v>
          </cell>
        </row>
        <row r="91">
          <cell r="B91">
            <v>3363</v>
          </cell>
        </row>
      </sheetData>
    </sheetDataSet>
  </externalBook>
</externalLink>
</file>

<file path=xl/externalLinks/externalLink79.xml><?xml version="1.0" encoding="utf-8"?>
<externalLink xmlns="http://schemas.openxmlformats.org/spreadsheetml/2006/main">
  <externalBook xmlns:r="http://schemas.openxmlformats.org/officeDocument/2006/relationships" r:id="rId1">
    <sheetNames>
      <sheetName val="刷单"/>
      <sheetName val="账单"/>
    </sheetNames>
    <sheetDataSet>
      <sheetData sheetId="0"/>
      <sheetData sheetId="1">
        <row r="24">
          <cell r="E24">
            <v>2782</v>
          </cell>
        </row>
        <row r="25">
          <cell r="E25">
            <v>1582</v>
          </cell>
        </row>
        <row r="26">
          <cell r="E26">
            <v>818</v>
          </cell>
        </row>
        <row r="27">
          <cell r="E27">
            <v>1042</v>
          </cell>
        </row>
        <row r="28">
          <cell r="E28">
            <v>396</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28">
          <cell r="B28">
            <v>1917</v>
          </cell>
        </row>
        <row r="29">
          <cell r="B29">
            <v>2021</v>
          </cell>
        </row>
        <row r="30">
          <cell r="B30">
            <v>1920</v>
          </cell>
        </row>
        <row r="31">
          <cell r="B31">
            <v>2083</v>
          </cell>
        </row>
        <row r="32">
          <cell r="B32">
            <v>1173</v>
          </cell>
        </row>
        <row r="33">
          <cell r="B33">
            <v>1976</v>
          </cell>
        </row>
      </sheetData>
    </sheetDataSet>
  </externalBook>
</externalLink>
</file>

<file path=xl/externalLinks/externalLink80.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24">
          <cell r="E24">
            <v>1398</v>
          </cell>
        </row>
        <row r="25">
          <cell r="E25">
            <v>2800</v>
          </cell>
        </row>
        <row r="26">
          <cell r="E26">
            <v>3097</v>
          </cell>
        </row>
        <row r="27">
          <cell r="E27">
            <v>2686</v>
          </cell>
        </row>
        <row r="28">
          <cell r="E28">
            <v>3181</v>
          </cell>
        </row>
      </sheetData>
      <sheetData sheetId="2"/>
    </sheetDataSet>
  </externalBook>
</externalLink>
</file>

<file path=xl/externalLinks/externalLink81.xml><?xml version="1.0" encoding="utf-8"?>
<externalLink xmlns="http://schemas.openxmlformats.org/spreadsheetml/2006/main">
  <externalBook xmlns:r="http://schemas.openxmlformats.org/officeDocument/2006/relationships" r:id="rId1">
    <sheetNames>
      <sheetName val="好评返现微信"/>
      <sheetName val="好评返现对账"/>
      <sheetName val="晓杰微信"/>
      <sheetName val="晓杰微信对账"/>
    </sheetNames>
    <sheetDataSet>
      <sheetData sheetId="0"/>
      <sheetData sheetId="1">
        <row r="98">
          <cell r="B98">
            <v>772</v>
          </cell>
        </row>
        <row r="99">
          <cell r="B99">
            <v>20</v>
          </cell>
        </row>
        <row r="100">
          <cell r="B100">
            <v>94</v>
          </cell>
        </row>
        <row r="101">
          <cell r="B101">
            <v>236</v>
          </cell>
        </row>
        <row r="102">
          <cell r="B102">
            <v>30</v>
          </cell>
        </row>
      </sheetData>
      <sheetData sheetId="2"/>
      <sheetData sheetId="3"/>
    </sheetDataSet>
  </externalBook>
</externalLink>
</file>

<file path=xl/externalLinks/externalLink82.xml><?xml version="1.0" encoding="utf-8"?>
<externalLink xmlns="http://schemas.openxmlformats.org/spreadsheetml/2006/main">
  <externalBook xmlns:r="http://schemas.openxmlformats.org/officeDocument/2006/relationships" r:id="rId1">
    <sheetNames>
      <sheetName val="刷单"/>
      <sheetName val="账单"/>
    </sheetNames>
    <sheetDataSet>
      <sheetData sheetId="0"/>
      <sheetData sheetId="1">
        <row r="29">
          <cell r="E29">
            <v>2937</v>
          </cell>
        </row>
      </sheetData>
    </sheetDataSet>
  </externalBook>
</externalLink>
</file>

<file path=xl/externalLinks/externalLink83.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97">
          <cell r="B97">
            <v>3321</v>
          </cell>
        </row>
        <row r="98">
          <cell r="B98">
            <v>3121</v>
          </cell>
        </row>
        <row r="99">
          <cell r="B99">
            <v>1948</v>
          </cell>
        </row>
      </sheetData>
    </sheetDataSet>
  </externalBook>
</externalLink>
</file>

<file path=xl/externalLinks/externalLink84.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100">
          <cell r="B100">
            <v>5518</v>
          </cell>
        </row>
      </sheetData>
    </sheetDataSet>
  </externalBook>
</externalLink>
</file>

<file path=xl/externalLinks/externalLink85.xml><?xml version="1.0" encoding="utf-8"?>
<externalLink xmlns="http://schemas.openxmlformats.org/spreadsheetml/2006/main">
  <externalBook xmlns:r="http://schemas.openxmlformats.org/officeDocument/2006/relationships" r:id="rId1">
    <sheetNames>
      <sheetName val="刷单"/>
      <sheetName val="账单"/>
    </sheetNames>
    <sheetDataSet>
      <sheetData sheetId="0"/>
      <sheetData sheetId="1">
        <row r="30">
          <cell r="E30">
            <v>3046</v>
          </cell>
        </row>
        <row r="31">
          <cell r="E31">
            <v>4333</v>
          </cell>
        </row>
      </sheetData>
    </sheetDataSet>
  </externalBook>
</externalLink>
</file>

<file path=xl/externalLinks/externalLink86.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126">
          <cell r="B126">
            <v>59</v>
          </cell>
        </row>
        <row r="127">
          <cell r="B127">
            <v>5</v>
          </cell>
        </row>
        <row r="128">
          <cell r="B128">
            <v>344</v>
          </cell>
        </row>
        <row r="129">
          <cell r="B129">
            <v>59</v>
          </cell>
        </row>
      </sheetData>
      <sheetData sheetId="2"/>
    </sheetDataSet>
  </externalBook>
</externalLink>
</file>

<file path=xl/externalLinks/externalLink87.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104">
          <cell r="B104">
            <v>2624</v>
          </cell>
        </row>
        <row r="105">
          <cell r="B105">
            <v>3269</v>
          </cell>
        </row>
        <row r="106">
          <cell r="B106">
            <v>312</v>
          </cell>
        </row>
        <row r="107">
          <cell r="B107">
            <v>3021</v>
          </cell>
        </row>
      </sheetData>
    </sheetDataSet>
  </externalBook>
</externalLink>
</file>

<file path=xl/externalLinks/externalLink88.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3">
          <cell r="E3">
            <v>3101</v>
          </cell>
        </row>
        <row r="4">
          <cell r="E4">
            <v>2133</v>
          </cell>
        </row>
        <row r="5">
          <cell r="E5">
            <v>3941</v>
          </cell>
        </row>
        <row r="6">
          <cell r="E6">
            <v>3011</v>
          </cell>
        </row>
      </sheetData>
      <sheetData sheetId="2"/>
    </sheetDataSet>
  </externalBook>
</externalLink>
</file>

<file path=xl/externalLinks/externalLink89.xml><?xml version="1.0" encoding="utf-8"?>
<externalLink xmlns="http://schemas.openxmlformats.org/spreadsheetml/2006/main">
  <externalBook xmlns:r="http://schemas.openxmlformats.org/officeDocument/2006/relationships" r:id="rId1">
    <sheetNames>
      <sheetName val="好评返现微信"/>
      <sheetName val="好评返现对账"/>
      <sheetName val="晓杰微信"/>
      <sheetName val="晓杰微信对账"/>
    </sheetNames>
    <sheetDataSet>
      <sheetData sheetId="0"/>
      <sheetData sheetId="1">
        <row r="107">
          <cell r="B107">
            <v>0</v>
          </cell>
        </row>
        <row r="108">
          <cell r="B108">
            <v>354</v>
          </cell>
        </row>
        <row r="109">
          <cell r="B109">
            <v>1082</v>
          </cell>
        </row>
      </sheetData>
      <sheetData sheetId="2"/>
      <sheetData sheetId="3"/>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61">
          <cell r="B61">
            <v>128</v>
          </cell>
        </row>
        <row r="62">
          <cell r="B62">
            <v>0</v>
          </cell>
        </row>
        <row r="63">
          <cell r="B63">
            <v>0</v>
          </cell>
        </row>
        <row r="64">
          <cell r="B64">
            <v>10</v>
          </cell>
        </row>
        <row r="65">
          <cell r="B65">
            <v>1</v>
          </cell>
        </row>
        <row r="66">
          <cell r="B66">
            <v>15</v>
          </cell>
        </row>
      </sheetData>
      <sheetData sheetId="2"/>
    </sheetDataSet>
  </externalBook>
</externalLink>
</file>

<file path=xl/externalLinks/externalLink90.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130">
          <cell r="B130">
            <v>748</v>
          </cell>
        </row>
        <row r="131">
          <cell r="B131">
            <v>464</v>
          </cell>
        </row>
        <row r="132">
          <cell r="B132">
            <v>336</v>
          </cell>
        </row>
        <row r="133">
          <cell r="B133">
            <v>668.82</v>
          </cell>
        </row>
      </sheetData>
      <sheetData sheetId="2"/>
    </sheetDataSet>
  </externalBook>
</externalLink>
</file>

<file path=xl/externalLinks/externalLink91.xml><?xml version="1.0" encoding="utf-8"?>
<externalLink xmlns="http://schemas.openxmlformats.org/spreadsheetml/2006/main">
  <externalBook xmlns:r="http://schemas.openxmlformats.org/officeDocument/2006/relationships" r:id="rId1">
    <sheetNames>
      <sheetName val="好评返现微信"/>
      <sheetName val="好评返现对账"/>
      <sheetName val="晓杰微信"/>
      <sheetName val="晓杰微信对账"/>
    </sheetNames>
    <sheetDataSet>
      <sheetData sheetId="0"/>
      <sheetData sheetId="1">
        <row r="110">
          <cell r="B110">
            <v>251</v>
          </cell>
        </row>
        <row r="111">
          <cell r="B111">
            <v>15</v>
          </cell>
        </row>
        <row r="112">
          <cell r="B112">
            <v>10</v>
          </cell>
        </row>
        <row r="113">
          <cell r="B113">
            <v>20</v>
          </cell>
        </row>
        <row r="114">
          <cell r="B114">
            <v>20</v>
          </cell>
        </row>
      </sheetData>
      <sheetData sheetId="2"/>
      <sheetData sheetId="3"/>
    </sheetDataSet>
  </externalBook>
</externalLink>
</file>

<file path=xl/externalLinks/externalLink92.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7">
          <cell r="E7">
            <v>2732</v>
          </cell>
        </row>
        <row r="8">
          <cell r="E8">
            <v>3205.2</v>
          </cell>
        </row>
        <row r="10">
          <cell r="E10">
            <v>3087.82</v>
          </cell>
        </row>
      </sheetData>
      <sheetData sheetId="2"/>
    </sheetDataSet>
  </externalBook>
</externalLink>
</file>

<file path=xl/externalLinks/externalLink93.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108">
          <cell r="B108">
            <v>2761</v>
          </cell>
        </row>
        <row r="109">
          <cell r="B109">
            <v>2949</v>
          </cell>
        </row>
        <row r="110">
          <cell r="B110">
            <v>6643</v>
          </cell>
        </row>
        <row r="111">
          <cell r="B111">
            <v>4539</v>
          </cell>
        </row>
      </sheetData>
    </sheetDataSet>
  </externalBook>
</externalLink>
</file>

<file path=xl/externalLinks/externalLink94.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112">
          <cell r="B112">
            <v>4124</v>
          </cell>
        </row>
        <row r="113">
          <cell r="B113">
            <v>4631.82</v>
          </cell>
        </row>
        <row r="114">
          <cell r="B114">
            <v>4589</v>
          </cell>
        </row>
        <row r="115">
          <cell r="B115">
            <v>4278.42</v>
          </cell>
        </row>
      </sheetData>
    </sheetDataSet>
  </externalBook>
</externalLink>
</file>

<file path=xl/externalLinks/externalLink95.xml><?xml version="1.0" encoding="utf-8"?>
<externalLink xmlns="http://schemas.openxmlformats.org/spreadsheetml/2006/main">
  <externalBook xmlns:r="http://schemas.openxmlformats.org/officeDocument/2006/relationships" r:id="rId1">
    <sheetNames>
      <sheetName val="好评返现微信"/>
      <sheetName val="好评返现对账"/>
      <sheetName val="晓杰微信"/>
      <sheetName val="晓杰微信对账"/>
    </sheetNames>
    <sheetDataSet>
      <sheetData sheetId="0"/>
      <sheetData sheetId="1">
        <row r="115">
          <cell r="B115">
            <v>700.25</v>
          </cell>
        </row>
        <row r="116">
          <cell r="B116">
            <v>726.82</v>
          </cell>
        </row>
        <row r="117">
          <cell r="B117">
            <v>1478.82</v>
          </cell>
        </row>
      </sheetData>
      <sheetData sheetId="2"/>
      <sheetData sheetId="3"/>
    </sheetDataSet>
  </externalBook>
</externalLink>
</file>

<file path=xl/externalLinks/externalLink96.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11">
          <cell r="E11">
            <v>2922.28</v>
          </cell>
        </row>
        <row r="12">
          <cell r="E12">
            <v>3023.5</v>
          </cell>
        </row>
        <row r="13">
          <cell r="E13">
            <v>2705.82</v>
          </cell>
        </row>
      </sheetData>
      <sheetData sheetId="2"/>
    </sheetDataSet>
  </externalBook>
</externalLink>
</file>

<file path=xl/externalLinks/externalLink97.xml><?xml version="1.0" encoding="utf-8"?>
<externalLink xmlns="http://schemas.openxmlformats.org/spreadsheetml/2006/main">
  <externalBook xmlns:r="http://schemas.openxmlformats.org/officeDocument/2006/relationships" r:id="rId1">
    <sheetNames>
      <sheetName val="刷单"/>
      <sheetName val="对账"/>
      <sheetName val="Sheet1"/>
    </sheetNames>
    <sheetDataSet>
      <sheetData sheetId="0"/>
      <sheetData sheetId="1">
        <row r="134">
          <cell r="B134">
            <v>192</v>
          </cell>
        </row>
        <row r="135">
          <cell r="B135">
            <v>272</v>
          </cell>
        </row>
        <row r="136">
          <cell r="B136">
            <v>642</v>
          </cell>
        </row>
        <row r="137">
          <cell r="B137">
            <v>492</v>
          </cell>
        </row>
      </sheetData>
      <sheetData sheetId="2"/>
    </sheetDataSet>
  </externalBook>
</externalLink>
</file>

<file path=xl/externalLinks/externalLink98.xml><?xml version="1.0" encoding="utf-8"?>
<externalLink xmlns="http://schemas.openxmlformats.org/spreadsheetml/2006/main">
  <externalBook xmlns:r="http://schemas.openxmlformats.org/officeDocument/2006/relationships" r:id="rId1">
    <sheetNames>
      <sheetName val="刷单"/>
      <sheetName val="账单"/>
      <sheetName val="Sheet3"/>
    </sheetNames>
    <sheetDataSet>
      <sheetData sheetId="0"/>
      <sheetData sheetId="1">
        <row r="14">
          <cell r="E14">
            <v>4095.82</v>
          </cell>
        </row>
        <row r="15">
          <cell r="E15">
            <v>4155.86</v>
          </cell>
        </row>
      </sheetData>
      <sheetData sheetId="2"/>
    </sheetDataSet>
  </externalBook>
</externalLink>
</file>

<file path=xl/externalLinks/externalLink99.xml><?xml version="1.0" encoding="utf-8"?>
<externalLink xmlns="http://schemas.openxmlformats.org/spreadsheetml/2006/main">
  <externalBook xmlns:r="http://schemas.openxmlformats.org/officeDocument/2006/relationships" r:id="rId1">
    <sheetNames>
      <sheetName val="刷单"/>
      <sheetName val="对账"/>
    </sheetNames>
    <sheetDataSet>
      <sheetData sheetId="0"/>
      <sheetData sheetId="1">
        <row r="116">
          <cell r="B116">
            <v>4312.82</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128"/>
  <sheetViews>
    <sheetView workbookViewId="0">
      <selection activeCell="E1" sqref="E$1:E$1048576"/>
    </sheetView>
  </sheetViews>
  <sheetFormatPr defaultColWidth="9" defaultRowHeight="20" customHeight="1"/>
  <cols>
    <col min="1" max="1" width="10.125" style="105" customWidth="1"/>
    <col min="2" max="2" width="10.875" style="105" customWidth="1"/>
    <col min="3" max="3" width="11" style="106" customWidth="1"/>
    <col min="4" max="4" width="12.125" style="107" customWidth="1"/>
    <col min="5" max="6" width="12.125" style="105" customWidth="1"/>
    <col min="7" max="7" width="12.125" style="108" customWidth="1"/>
    <col min="8" max="8" width="12.125" style="109" customWidth="1"/>
    <col min="9" max="9" width="12.125" style="110" customWidth="1"/>
    <col min="10" max="10" width="12.125" style="105" customWidth="1"/>
    <col min="11" max="11" width="32.5" style="105" customWidth="1"/>
    <col min="12" max="25" width="9" style="111"/>
    <col min="26" max="16384" width="9" style="103"/>
  </cols>
  <sheetData>
    <row r="1" s="102" customFormat="1" ht="30" customHeight="1" spans="1:25">
      <c r="A1" s="52" t="s">
        <v>0</v>
      </c>
      <c r="B1" s="53" t="s">
        <v>1</v>
      </c>
      <c r="C1" s="53" t="s">
        <v>2</v>
      </c>
      <c r="D1" s="54" t="s">
        <v>3</v>
      </c>
      <c r="E1" s="53" t="s">
        <v>4</v>
      </c>
      <c r="F1" s="53" t="s">
        <v>5</v>
      </c>
      <c r="G1" s="55" t="s">
        <v>6</v>
      </c>
      <c r="H1" s="56" t="s">
        <v>7</v>
      </c>
      <c r="I1" s="73" t="s">
        <v>8</v>
      </c>
      <c r="J1" s="54" t="s">
        <v>9</v>
      </c>
      <c r="K1" s="74" t="s">
        <v>10</v>
      </c>
      <c r="L1" s="112"/>
      <c r="M1" s="112"/>
      <c r="N1" s="112"/>
      <c r="O1" s="112"/>
      <c r="P1" s="112"/>
      <c r="Q1" s="112"/>
      <c r="R1" s="112"/>
      <c r="S1" s="112"/>
      <c r="T1" s="112"/>
      <c r="U1" s="112"/>
      <c r="V1" s="112"/>
      <c r="W1" s="112"/>
      <c r="X1" s="112"/>
      <c r="Y1" s="112"/>
    </row>
    <row r="2" s="103" customFormat="1" customHeight="1" spans="1:25">
      <c r="A2" s="63">
        <v>43656</v>
      </c>
      <c r="B2" s="8" t="s">
        <v>11</v>
      </c>
      <c r="C2" s="8" t="s">
        <v>12</v>
      </c>
      <c r="D2" s="64">
        <v>3289</v>
      </c>
      <c r="E2" s="6"/>
      <c r="F2" s="6"/>
      <c r="G2" s="65">
        <v>241</v>
      </c>
      <c r="H2" s="66">
        <f t="shared" ref="H2:H46" si="0">D2-G2+E2+F2</f>
        <v>3048</v>
      </c>
      <c r="I2" s="77">
        <f>[1]对账!$B$45</f>
        <v>241</v>
      </c>
      <c r="J2" s="64">
        <f t="shared" ref="J2:J46" si="1">G2-I2</f>
        <v>0</v>
      </c>
      <c r="K2" s="80"/>
      <c r="L2" s="111"/>
      <c r="M2" s="111"/>
      <c r="N2" s="111"/>
      <c r="O2" s="111"/>
      <c r="P2" s="111"/>
      <c r="Q2" s="111"/>
      <c r="R2" s="111"/>
      <c r="S2" s="111"/>
      <c r="T2" s="111"/>
      <c r="U2" s="111"/>
      <c r="V2" s="111"/>
      <c r="W2" s="111"/>
      <c r="X2" s="111"/>
      <c r="Y2" s="111"/>
    </row>
    <row r="3" s="103" customFormat="1" customHeight="1" spans="1:25">
      <c r="A3" s="63">
        <v>43656</v>
      </c>
      <c r="B3" s="8" t="s">
        <v>13</v>
      </c>
      <c r="C3" s="8" t="s">
        <v>14</v>
      </c>
      <c r="D3" s="64">
        <v>9053</v>
      </c>
      <c r="E3" s="6"/>
      <c r="F3" s="6"/>
      <c r="G3" s="65">
        <v>4451</v>
      </c>
      <c r="H3" s="66">
        <f t="shared" si="0"/>
        <v>4602</v>
      </c>
      <c r="I3" s="77">
        <v>4451</v>
      </c>
      <c r="J3" s="64">
        <f t="shared" si="1"/>
        <v>0</v>
      </c>
      <c r="K3" s="80"/>
      <c r="L3" s="111"/>
      <c r="M3" s="111"/>
      <c r="N3" s="111"/>
      <c r="O3" s="111"/>
      <c r="P3" s="111"/>
      <c r="Q3" s="111"/>
      <c r="R3" s="111"/>
      <c r="S3" s="111"/>
      <c r="T3" s="111"/>
      <c r="U3" s="111"/>
      <c r="V3" s="111"/>
      <c r="W3" s="111"/>
      <c r="X3" s="111"/>
      <c r="Y3" s="111"/>
    </row>
    <row r="4" s="103" customFormat="1" customHeight="1" spans="1:25">
      <c r="A4" s="63">
        <v>43656</v>
      </c>
      <c r="B4" s="8" t="s">
        <v>15</v>
      </c>
      <c r="C4" s="8" t="s">
        <v>16</v>
      </c>
      <c r="D4" s="64">
        <v>4044</v>
      </c>
      <c r="E4" s="6"/>
      <c r="F4" s="6"/>
      <c r="G4" s="65">
        <v>120</v>
      </c>
      <c r="H4" s="66">
        <f t="shared" si="0"/>
        <v>3924</v>
      </c>
      <c r="I4" s="77">
        <v>115</v>
      </c>
      <c r="J4" s="64">
        <f t="shared" si="1"/>
        <v>5</v>
      </c>
      <c r="K4" s="80" t="s">
        <v>17</v>
      </c>
      <c r="L4" s="111"/>
      <c r="M4" s="111"/>
      <c r="N4" s="111"/>
      <c r="O4" s="111"/>
      <c r="P4" s="111"/>
      <c r="Q4" s="111"/>
      <c r="R4" s="111"/>
      <c r="S4" s="111"/>
      <c r="T4" s="111"/>
      <c r="U4" s="111"/>
      <c r="V4" s="111"/>
      <c r="W4" s="111"/>
      <c r="X4" s="111"/>
      <c r="Y4" s="111"/>
    </row>
    <row r="5" customHeight="1" spans="1:11">
      <c r="A5" s="63">
        <v>43656</v>
      </c>
      <c r="B5" s="8" t="s">
        <v>18</v>
      </c>
      <c r="C5" s="8" t="s">
        <v>19</v>
      </c>
      <c r="D5" s="64">
        <v>60.5</v>
      </c>
      <c r="E5" s="6">
        <v>10000</v>
      </c>
      <c r="F5" s="6"/>
      <c r="G5" s="65">
        <v>1245</v>
      </c>
      <c r="H5" s="66">
        <f t="shared" si="0"/>
        <v>8815.5</v>
      </c>
      <c r="I5" s="77">
        <v>1245</v>
      </c>
      <c r="J5" s="64">
        <f t="shared" si="1"/>
        <v>0</v>
      </c>
      <c r="K5" s="101"/>
    </row>
    <row r="6" customHeight="1" spans="1:11">
      <c r="A6" s="67">
        <v>43656</v>
      </c>
      <c r="B6" s="68" t="s">
        <v>18</v>
      </c>
      <c r="C6" s="68" t="s">
        <v>20</v>
      </c>
      <c r="D6" s="69">
        <v>2072</v>
      </c>
      <c r="E6" s="70">
        <v>10000</v>
      </c>
      <c r="F6" s="70">
        <v>236</v>
      </c>
      <c r="G6" s="71">
        <f>3040-59</f>
        <v>2981</v>
      </c>
      <c r="H6" s="72">
        <f t="shared" si="0"/>
        <v>9327</v>
      </c>
      <c r="I6" s="81">
        <v>3040</v>
      </c>
      <c r="J6" s="64">
        <f t="shared" si="1"/>
        <v>-59</v>
      </c>
      <c r="K6" s="113"/>
    </row>
    <row r="7" customHeight="1" spans="1:11">
      <c r="A7" s="63">
        <v>43657</v>
      </c>
      <c r="B7" s="8" t="s">
        <v>11</v>
      </c>
      <c r="C7" s="8" t="s">
        <v>12</v>
      </c>
      <c r="D7" s="64">
        <f t="shared" ref="D7:D46" si="2">H2</f>
        <v>3048</v>
      </c>
      <c r="E7" s="6"/>
      <c r="F7" s="6"/>
      <c r="G7" s="65">
        <v>378</v>
      </c>
      <c r="H7" s="66">
        <f t="shared" si="0"/>
        <v>2670</v>
      </c>
      <c r="I7" s="77">
        <f>[1]对账!$B$46</f>
        <v>378</v>
      </c>
      <c r="J7" s="64">
        <f t="shared" si="1"/>
        <v>0</v>
      </c>
      <c r="K7" s="80"/>
    </row>
    <row r="8" customHeight="1" spans="1:11">
      <c r="A8" s="63">
        <v>43657</v>
      </c>
      <c r="B8" s="8" t="s">
        <v>13</v>
      </c>
      <c r="C8" s="8" t="s">
        <v>14</v>
      </c>
      <c r="D8" s="64">
        <f t="shared" si="2"/>
        <v>4602</v>
      </c>
      <c r="E8" s="6">
        <v>10000</v>
      </c>
      <c r="F8" s="6"/>
      <c r="G8" s="65">
        <f>4315-59</f>
        <v>4256</v>
      </c>
      <c r="H8" s="66">
        <f t="shared" si="0"/>
        <v>10346</v>
      </c>
      <c r="I8" s="77">
        <v>4256</v>
      </c>
      <c r="J8" s="64">
        <f t="shared" si="1"/>
        <v>0</v>
      </c>
      <c r="K8" s="80"/>
    </row>
    <row r="9" customHeight="1" spans="1:11">
      <c r="A9" s="63">
        <v>43657</v>
      </c>
      <c r="B9" s="8" t="s">
        <v>15</v>
      </c>
      <c r="C9" s="8" t="s">
        <v>16</v>
      </c>
      <c r="D9" s="64">
        <f t="shared" si="2"/>
        <v>3924</v>
      </c>
      <c r="E9" s="6"/>
      <c r="F9" s="6"/>
      <c r="G9" s="65">
        <v>160</v>
      </c>
      <c r="H9" s="66">
        <f t="shared" si="0"/>
        <v>3764</v>
      </c>
      <c r="I9" s="77">
        <v>160</v>
      </c>
      <c r="J9" s="64">
        <f t="shared" si="1"/>
        <v>0</v>
      </c>
      <c r="K9" s="80"/>
    </row>
    <row r="10" customHeight="1" spans="1:11">
      <c r="A10" s="63">
        <v>43657</v>
      </c>
      <c r="B10" s="8" t="s">
        <v>18</v>
      </c>
      <c r="C10" s="8" t="s">
        <v>19</v>
      </c>
      <c r="D10" s="64">
        <f t="shared" si="2"/>
        <v>8815.5</v>
      </c>
      <c r="E10" s="6"/>
      <c r="F10" s="6"/>
      <c r="G10" s="65">
        <v>2041</v>
      </c>
      <c r="H10" s="66">
        <f t="shared" si="0"/>
        <v>6774.5</v>
      </c>
      <c r="I10" s="77">
        <v>2036</v>
      </c>
      <c r="J10" s="64">
        <f t="shared" si="1"/>
        <v>5</v>
      </c>
      <c r="K10" s="101"/>
    </row>
    <row r="11" customHeight="1" spans="1:11">
      <c r="A11" s="67">
        <v>43657</v>
      </c>
      <c r="B11" s="68" t="s">
        <v>18</v>
      </c>
      <c r="C11" s="68" t="s">
        <v>20</v>
      </c>
      <c r="D11" s="69">
        <f t="shared" si="2"/>
        <v>9327</v>
      </c>
      <c r="E11" s="70"/>
      <c r="F11" s="70"/>
      <c r="G11" s="71">
        <v>1850</v>
      </c>
      <c r="H11" s="72">
        <f t="shared" si="0"/>
        <v>7477</v>
      </c>
      <c r="I11" s="81">
        <v>1856</v>
      </c>
      <c r="J11" s="64">
        <f t="shared" si="1"/>
        <v>-6</v>
      </c>
      <c r="K11" s="113"/>
    </row>
    <row r="12" customHeight="1" spans="1:11">
      <c r="A12" s="63">
        <v>43658</v>
      </c>
      <c r="B12" s="8" t="s">
        <v>11</v>
      </c>
      <c r="C12" s="8" t="s">
        <v>12</v>
      </c>
      <c r="D12" s="64">
        <f t="shared" si="2"/>
        <v>2670</v>
      </c>
      <c r="E12" s="6"/>
      <c r="F12" s="6"/>
      <c r="G12" s="65">
        <v>59</v>
      </c>
      <c r="H12" s="66">
        <f t="shared" si="0"/>
        <v>2611</v>
      </c>
      <c r="I12" s="77">
        <f>[1]对账!$B$47</f>
        <v>10</v>
      </c>
      <c r="J12" s="64">
        <f t="shared" si="1"/>
        <v>49</v>
      </c>
      <c r="K12" s="80"/>
    </row>
    <row r="13" customHeight="1" spans="1:11">
      <c r="A13" s="63">
        <v>43658</v>
      </c>
      <c r="B13" s="8" t="s">
        <v>13</v>
      </c>
      <c r="C13" s="8" t="s">
        <v>14</v>
      </c>
      <c r="D13" s="64">
        <f t="shared" si="2"/>
        <v>10346</v>
      </c>
      <c r="E13" s="6"/>
      <c r="F13" s="6"/>
      <c r="G13" s="65">
        <v>4616</v>
      </c>
      <c r="H13" s="66">
        <f t="shared" si="0"/>
        <v>5730</v>
      </c>
      <c r="I13" s="77">
        <v>4616</v>
      </c>
      <c r="J13" s="64">
        <f t="shared" si="1"/>
        <v>0</v>
      </c>
      <c r="K13" s="80"/>
    </row>
    <row r="14" customHeight="1" spans="1:11">
      <c r="A14" s="63">
        <v>43658</v>
      </c>
      <c r="B14" s="8" t="s">
        <v>15</v>
      </c>
      <c r="C14" s="8" t="s">
        <v>16</v>
      </c>
      <c r="D14" s="64">
        <f t="shared" si="2"/>
        <v>3764</v>
      </c>
      <c r="E14" s="6"/>
      <c r="F14" s="6"/>
      <c r="G14" s="65">
        <v>291</v>
      </c>
      <c r="H14" s="66">
        <f t="shared" si="0"/>
        <v>3473</v>
      </c>
      <c r="I14" s="77">
        <v>370</v>
      </c>
      <c r="J14" s="64">
        <f t="shared" si="1"/>
        <v>-79</v>
      </c>
      <c r="K14" s="80" t="s">
        <v>17</v>
      </c>
    </row>
    <row r="15" customHeight="1" spans="1:11">
      <c r="A15" s="63">
        <v>43658</v>
      </c>
      <c r="B15" s="8" t="s">
        <v>18</v>
      </c>
      <c r="C15" s="8" t="s">
        <v>19</v>
      </c>
      <c r="D15" s="64">
        <f t="shared" si="2"/>
        <v>6774.5</v>
      </c>
      <c r="E15" s="6"/>
      <c r="F15" s="6"/>
      <c r="G15" s="65">
        <v>3461</v>
      </c>
      <c r="H15" s="66">
        <f t="shared" si="0"/>
        <v>3313.5</v>
      </c>
      <c r="I15" s="77">
        <v>3466</v>
      </c>
      <c r="J15" s="64">
        <f t="shared" si="1"/>
        <v>-5</v>
      </c>
      <c r="K15" s="101"/>
    </row>
    <row r="16" customHeight="1" spans="1:11">
      <c r="A16" s="84">
        <v>43658</v>
      </c>
      <c r="B16" s="85" t="s">
        <v>18</v>
      </c>
      <c r="C16" s="85" t="s">
        <v>20</v>
      </c>
      <c r="D16" s="86">
        <f t="shared" si="2"/>
        <v>7477</v>
      </c>
      <c r="E16" s="87"/>
      <c r="F16" s="87"/>
      <c r="G16" s="88">
        <v>1232</v>
      </c>
      <c r="H16" s="89">
        <f t="shared" si="0"/>
        <v>6245</v>
      </c>
      <c r="I16" s="95">
        <v>1232</v>
      </c>
      <c r="J16" s="86">
        <f t="shared" si="1"/>
        <v>0</v>
      </c>
      <c r="K16" s="114"/>
    </row>
    <row r="17" customHeight="1" spans="1:11">
      <c r="A17" s="63">
        <v>43659</v>
      </c>
      <c r="B17" s="8" t="s">
        <v>11</v>
      </c>
      <c r="C17" s="8" t="s">
        <v>12</v>
      </c>
      <c r="D17" s="64">
        <f t="shared" si="2"/>
        <v>2611</v>
      </c>
      <c r="E17" s="6"/>
      <c r="F17" s="6"/>
      <c r="G17" s="65">
        <v>54</v>
      </c>
      <c r="H17" s="66">
        <f t="shared" si="0"/>
        <v>2557</v>
      </c>
      <c r="I17" s="77">
        <f>[1]对账!$B$48</f>
        <v>54</v>
      </c>
      <c r="J17" s="64">
        <f t="shared" si="1"/>
        <v>0</v>
      </c>
      <c r="K17" s="80"/>
    </row>
    <row r="18" customHeight="1" spans="1:11">
      <c r="A18" s="63">
        <v>43659</v>
      </c>
      <c r="B18" s="8" t="s">
        <v>13</v>
      </c>
      <c r="C18" s="8" t="s">
        <v>14</v>
      </c>
      <c r="D18" s="64">
        <f t="shared" si="2"/>
        <v>5730</v>
      </c>
      <c r="E18" s="6"/>
      <c r="F18" s="6"/>
      <c r="G18" s="65">
        <v>4907</v>
      </c>
      <c r="H18" s="66">
        <f t="shared" si="0"/>
        <v>823</v>
      </c>
      <c r="I18" s="77">
        <v>4907</v>
      </c>
      <c r="J18" s="64">
        <f t="shared" si="1"/>
        <v>0</v>
      </c>
      <c r="K18" s="80"/>
    </row>
    <row r="19" customHeight="1" spans="1:11">
      <c r="A19" s="63">
        <v>43659</v>
      </c>
      <c r="B19" s="8" t="s">
        <v>15</v>
      </c>
      <c r="C19" s="8" t="s">
        <v>16</v>
      </c>
      <c r="D19" s="64">
        <f t="shared" si="2"/>
        <v>3473</v>
      </c>
      <c r="E19" s="6"/>
      <c r="F19" s="6"/>
      <c r="G19" s="65">
        <v>742</v>
      </c>
      <c r="H19" s="66">
        <f t="shared" si="0"/>
        <v>2731</v>
      </c>
      <c r="I19" s="77">
        <v>739</v>
      </c>
      <c r="J19" s="64">
        <f t="shared" si="1"/>
        <v>3</v>
      </c>
      <c r="K19" s="80"/>
    </row>
    <row r="20" customHeight="1" spans="1:11">
      <c r="A20" s="63">
        <v>43659</v>
      </c>
      <c r="B20" s="8" t="s">
        <v>18</v>
      </c>
      <c r="C20" s="8" t="s">
        <v>19</v>
      </c>
      <c r="D20" s="64">
        <f t="shared" si="2"/>
        <v>3313.5</v>
      </c>
      <c r="E20" s="6"/>
      <c r="F20" s="6"/>
      <c r="G20" s="65">
        <v>1802</v>
      </c>
      <c r="H20" s="66">
        <f t="shared" si="0"/>
        <v>1511.5</v>
      </c>
      <c r="I20" s="77">
        <v>1802</v>
      </c>
      <c r="J20" s="64">
        <f t="shared" si="1"/>
        <v>0</v>
      </c>
      <c r="K20" s="101"/>
    </row>
    <row r="21" s="104" customFormat="1" customHeight="1" spans="1:25">
      <c r="A21" s="67">
        <v>43659</v>
      </c>
      <c r="B21" s="68" t="s">
        <v>18</v>
      </c>
      <c r="C21" s="68" t="s">
        <v>20</v>
      </c>
      <c r="D21" s="69">
        <f t="shared" si="2"/>
        <v>6245</v>
      </c>
      <c r="E21" s="70">
        <v>10000</v>
      </c>
      <c r="F21" s="70">
        <v>120</v>
      </c>
      <c r="G21" s="71">
        <v>1938</v>
      </c>
      <c r="H21" s="72">
        <f t="shared" si="0"/>
        <v>14427</v>
      </c>
      <c r="I21" s="81">
        <v>1938</v>
      </c>
      <c r="J21" s="69">
        <f t="shared" si="1"/>
        <v>0</v>
      </c>
      <c r="K21" s="113"/>
      <c r="L21" s="115"/>
      <c r="M21" s="115"/>
      <c r="N21" s="115"/>
      <c r="O21" s="115"/>
      <c r="P21" s="115"/>
      <c r="Q21" s="115"/>
      <c r="R21" s="115"/>
      <c r="S21" s="115"/>
      <c r="T21" s="115"/>
      <c r="U21" s="115"/>
      <c r="V21" s="115"/>
      <c r="W21" s="115"/>
      <c r="X21" s="115"/>
      <c r="Y21" s="115"/>
    </row>
    <row r="22" customHeight="1" spans="1:11">
      <c r="A22" s="63">
        <v>43660</v>
      </c>
      <c r="B22" s="8" t="s">
        <v>11</v>
      </c>
      <c r="C22" s="8" t="s">
        <v>12</v>
      </c>
      <c r="D22" s="64">
        <f t="shared" si="2"/>
        <v>2557</v>
      </c>
      <c r="E22" s="6"/>
      <c r="F22" s="6"/>
      <c r="G22" s="65">
        <v>682</v>
      </c>
      <c r="H22" s="66">
        <f t="shared" si="0"/>
        <v>1875</v>
      </c>
      <c r="I22" s="77">
        <f>[1]对账!$B$49</f>
        <v>731</v>
      </c>
      <c r="J22" s="64">
        <f t="shared" si="1"/>
        <v>-49</v>
      </c>
      <c r="K22" s="80"/>
    </row>
    <row r="23" customHeight="1" spans="1:11">
      <c r="A23" s="63">
        <v>43660</v>
      </c>
      <c r="B23" s="8" t="s">
        <v>13</v>
      </c>
      <c r="C23" s="8" t="s">
        <v>14</v>
      </c>
      <c r="D23" s="64">
        <f t="shared" si="2"/>
        <v>823</v>
      </c>
      <c r="E23" s="6">
        <v>10000</v>
      </c>
      <c r="F23" s="6"/>
      <c r="G23" s="65">
        <v>4439</v>
      </c>
      <c r="H23" s="66">
        <f t="shared" si="0"/>
        <v>6384</v>
      </c>
      <c r="I23" s="77">
        <v>4439</v>
      </c>
      <c r="J23" s="64">
        <f t="shared" si="1"/>
        <v>0</v>
      </c>
      <c r="K23" s="80"/>
    </row>
    <row r="24" customHeight="1" spans="1:11">
      <c r="A24" s="63">
        <v>43660</v>
      </c>
      <c r="B24" s="8" t="s">
        <v>15</v>
      </c>
      <c r="C24" s="8" t="s">
        <v>16</v>
      </c>
      <c r="D24" s="64">
        <f t="shared" si="2"/>
        <v>2731</v>
      </c>
      <c r="E24" s="6"/>
      <c r="F24" s="6"/>
      <c r="G24" s="65">
        <v>2254</v>
      </c>
      <c r="H24" s="66">
        <f t="shared" si="0"/>
        <v>477</v>
      </c>
      <c r="I24" s="77">
        <v>2229</v>
      </c>
      <c r="J24" s="64">
        <f t="shared" si="1"/>
        <v>25</v>
      </c>
      <c r="K24" s="80"/>
    </row>
    <row r="25" customHeight="1" spans="1:11">
      <c r="A25" s="63">
        <v>43660</v>
      </c>
      <c r="B25" s="8" t="s">
        <v>18</v>
      </c>
      <c r="C25" s="8" t="s">
        <v>19</v>
      </c>
      <c r="D25" s="64">
        <f t="shared" si="2"/>
        <v>1511.5</v>
      </c>
      <c r="E25" s="6">
        <v>10000</v>
      </c>
      <c r="F25" s="6"/>
      <c r="G25" s="65">
        <v>1291</v>
      </c>
      <c r="H25" s="66">
        <f t="shared" si="0"/>
        <v>10220.5</v>
      </c>
      <c r="I25" s="77">
        <v>1286</v>
      </c>
      <c r="J25" s="64">
        <f t="shared" si="1"/>
        <v>5</v>
      </c>
      <c r="K25" s="101"/>
    </row>
    <row r="26" s="104" customFormat="1" customHeight="1" spans="1:25">
      <c r="A26" s="67">
        <v>43660</v>
      </c>
      <c r="B26" s="68" t="s">
        <v>18</v>
      </c>
      <c r="C26" s="68" t="s">
        <v>20</v>
      </c>
      <c r="D26" s="69">
        <f t="shared" si="2"/>
        <v>14427</v>
      </c>
      <c r="E26" s="70"/>
      <c r="F26" s="70"/>
      <c r="G26" s="71">
        <v>59</v>
      </c>
      <c r="H26" s="72">
        <f t="shared" si="0"/>
        <v>14368</v>
      </c>
      <c r="I26" s="81">
        <v>59</v>
      </c>
      <c r="J26" s="69">
        <f t="shared" si="1"/>
        <v>0</v>
      </c>
      <c r="K26" s="113"/>
      <c r="L26" s="115"/>
      <c r="M26" s="115"/>
      <c r="N26" s="115"/>
      <c r="O26" s="115"/>
      <c r="P26" s="115"/>
      <c r="Q26" s="115"/>
      <c r="R26" s="115"/>
      <c r="S26" s="115"/>
      <c r="T26" s="115"/>
      <c r="U26" s="115"/>
      <c r="V26" s="115"/>
      <c r="W26" s="115"/>
      <c r="X26" s="115"/>
      <c r="Y26" s="115"/>
    </row>
    <row r="27" customHeight="1" spans="1:11">
      <c r="A27" s="63">
        <v>43661</v>
      </c>
      <c r="B27" s="8" t="s">
        <v>11</v>
      </c>
      <c r="C27" s="8" t="s">
        <v>12</v>
      </c>
      <c r="D27" s="64">
        <f t="shared" si="2"/>
        <v>1875</v>
      </c>
      <c r="E27" s="6"/>
      <c r="F27" s="6"/>
      <c r="G27" s="65">
        <v>0</v>
      </c>
      <c r="H27" s="66">
        <f t="shared" si="0"/>
        <v>1875</v>
      </c>
      <c r="I27" s="77">
        <f>[1]对账!$B$50</f>
        <v>0</v>
      </c>
      <c r="J27" s="64">
        <f t="shared" si="1"/>
        <v>0</v>
      </c>
      <c r="K27" s="80"/>
    </row>
    <row r="28" customHeight="1" spans="1:11">
      <c r="A28" s="63">
        <v>43661</v>
      </c>
      <c r="B28" s="8" t="s">
        <v>13</v>
      </c>
      <c r="C28" s="8" t="s">
        <v>14</v>
      </c>
      <c r="D28" s="64">
        <f t="shared" si="2"/>
        <v>6384</v>
      </c>
      <c r="E28" s="6">
        <v>10000</v>
      </c>
      <c r="F28" s="6">
        <v>39</v>
      </c>
      <c r="G28" s="65">
        <v>4389</v>
      </c>
      <c r="H28" s="66">
        <f t="shared" si="0"/>
        <v>12034</v>
      </c>
      <c r="I28" s="77">
        <f>4450-20</f>
        <v>4430</v>
      </c>
      <c r="J28" s="64">
        <f t="shared" si="1"/>
        <v>-41</v>
      </c>
      <c r="K28" s="80" t="s">
        <v>21</v>
      </c>
    </row>
    <row r="29" customHeight="1" spans="1:11">
      <c r="A29" s="63">
        <v>43661</v>
      </c>
      <c r="B29" s="8" t="s">
        <v>15</v>
      </c>
      <c r="C29" s="8" t="s">
        <v>16</v>
      </c>
      <c r="D29" s="64">
        <f t="shared" si="2"/>
        <v>477</v>
      </c>
      <c r="E29" s="6">
        <v>10000</v>
      </c>
      <c r="F29" s="6">
        <v>49</v>
      </c>
      <c r="G29" s="65">
        <v>193</v>
      </c>
      <c r="H29" s="66">
        <f t="shared" si="0"/>
        <v>10333</v>
      </c>
      <c r="I29" s="77">
        <f>139+49</f>
        <v>188</v>
      </c>
      <c r="J29" s="64">
        <f t="shared" si="1"/>
        <v>5</v>
      </c>
      <c r="K29" s="80" t="s">
        <v>22</v>
      </c>
    </row>
    <row r="30" customHeight="1" spans="1:11">
      <c r="A30" s="63">
        <v>43661</v>
      </c>
      <c r="B30" s="8" t="s">
        <v>18</v>
      </c>
      <c r="C30" s="8" t="s">
        <v>19</v>
      </c>
      <c r="D30" s="64">
        <f t="shared" si="2"/>
        <v>10220.5</v>
      </c>
      <c r="E30" s="6"/>
      <c r="F30" s="6"/>
      <c r="G30" s="65">
        <v>454</v>
      </c>
      <c r="H30" s="66">
        <f t="shared" si="0"/>
        <v>9766.5</v>
      </c>
      <c r="I30" s="77">
        <v>454</v>
      </c>
      <c r="J30" s="64">
        <f t="shared" si="1"/>
        <v>0</v>
      </c>
      <c r="K30" s="101"/>
    </row>
    <row r="31" s="104" customFormat="1" customHeight="1" spans="1:25">
      <c r="A31" s="67">
        <v>43661</v>
      </c>
      <c r="B31" s="68" t="s">
        <v>18</v>
      </c>
      <c r="C31" s="68" t="s">
        <v>20</v>
      </c>
      <c r="D31" s="69">
        <f t="shared" si="2"/>
        <v>14368</v>
      </c>
      <c r="E31" s="70"/>
      <c r="F31" s="70"/>
      <c r="G31" s="71">
        <v>4669</v>
      </c>
      <c r="H31" s="72">
        <f t="shared" si="0"/>
        <v>9699</v>
      </c>
      <c r="I31" s="81">
        <v>4669</v>
      </c>
      <c r="J31" s="69">
        <f t="shared" si="1"/>
        <v>0</v>
      </c>
      <c r="K31" s="113"/>
      <c r="L31" s="115"/>
      <c r="M31" s="115"/>
      <c r="N31" s="115"/>
      <c r="O31" s="115"/>
      <c r="P31" s="111"/>
      <c r="Q31" s="115"/>
      <c r="R31" s="115"/>
      <c r="S31" s="115"/>
      <c r="T31" s="115"/>
      <c r="U31" s="115"/>
      <c r="V31" s="115"/>
      <c r="W31" s="115"/>
      <c r="X31" s="115"/>
      <c r="Y31" s="115"/>
    </row>
    <row r="32" customHeight="1" spans="1:11">
      <c r="A32" s="63">
        <v>43662</v>
      </c>
      <c r="B32" s="8" t="s">
        <v>11</v>
      </c>
      <c r="C32" s="8" t="s">
        <v>12</v>
      </c>
      <c r="D32" s="64">
        <f t="shared" si="2"/>
        <v>1875</v>
      </c>
      <c r="E32" s="6"/>
      <c r="F32" s="6"/>
      <c r="G32" s="65">
        <v>194</v>
      </c>
      <c r="H32" s="66">
        <f t="shared" si="0"/>
        <v>1681</v>
      </c>
      <c r="I32" s="77">
        <f>[1]对账!$B$51</f>
        <v>49</v>
      </c>
      <c r="J32" s="64">
        <f t="shared" si="1"/>
        <v>145</v>
      </c>
      <c r="K32" s="80"/>
    </row>
    <row r="33" customHeight="1" spans="1:11">
      <c r="A33" s="63">
        <v>43662</v>
      </c>
      <c r="B33" s="8" t="s">
        <v>13</v>
      </c>
      <c r="C33" s="8" t="s">
        <v>14</v>
      </c>
      <c r="D33" s="64">
        <f t="shared" si="2"/>
        <v>12034</v>
      </c>
      <c r="E33" s="6"/>
      <c r="F33" s="6"/>
      <c r="G33" s="65">
        <v>4438</v>
      </c>
      <c r="H33" s="66">
        <f t="shared" si="0"/>
        <v>7596</v>
      </c>
      <c r="I33" s="77">
        <v>4399</v>
      </c>
      <c r="J33" s="64">
        <f t="shared" si="1"/>
        <v>39</v>
      </c>
      <c r="K33" s="80" t="s">
        <v>23</v>
      </c>
    </row>
    <row r="34" customHeight="1" spans="1:11">
      <c r="A34" s="63">
        <v>43662</v>
      </c>
      <c r="B34" s="8" t="s">
        <v>15</v>
      </c>
      <c r="C34" s="8" t="s">
        <v>16</v>
      </c>
      <c r="D34" s="64">
        <f t="shared" si="2"/>
        <v>10333</v>
      </c>
      <c r="E34" s="6"/>
      <c r="F34" s="6"/>
      <c r="G34" s="65">
        <v>154</v>
      </c>
      <c r="H34" s="66">
        <f t="shared" si="0"/>
        <v>10179</v>
      </c>
      <c r="I34" s="77">
        <v>163</v>
      </c>
      <c r="J34" s="64">
        <f t="shared" si="1"/>
        <v>-9</v>
      </c>
      <c r="K34" s="80"/>
    </row>
    <row r="35" customHeight="1" spans="1:11">
      <c r="A35" s="63">
        <v>43662</v>
      </c>
      <c r="B35" s="8" t="s">
        <v>18</v>
      </c>
      <c r="C35" s="8" t="s">
        <v>19</v>
      </c>
      <c r="D35" s="64">
        <f t="shared" si="2"/>
        <v>9766.5</v>
      </c>
      <c r="E35" s="6"/>
      <c r="F35" s="6"/>
      <c r="G35" s="65">
        <v>783</v>
      </c>
      <c r="H35" s="66">
        <f t="shared" si="0"/>
        <v>8983.5</v>
      </c>
      <c r="I35" s="77">
        <v>788</v>
      </c>
      <c r="J35" s="64">
        <f t="shared" si="1"/>
        <v>-5</v>
      </c>
      <c r="K35" s="101"/>
    </row>
    <row r="36" customHeight="1" spans="1:11">
      <c r="A36" s="67">
        <v>43662</v>
      </c>
      <c r="B36" s="68" t="s">
        <v>18</v>
      </c>
      <c r="C36" s="68" t="s">
        <v>20</v>
      </c>
      <c r="D36" s="69">
        <f t="shared" si="2"/>
        <v>9699</v>
      </c>
      <c r="E36" s="70"/>
      <c r="F36" s="70"/>
      <c r="G36" s="71">
        <v>4093</v>
      </c>
      <c r="H36" s="72">
        <f t="shared" si="0"/>
        <v>5606</v>
      </c>
      <c r="I36" s="81">
        <v>4093</v>
      </c>
      <c r="J36" s="69">
        <f t="shared" si="1"/>
        <v>0</v>
      </c>
      <c r="K36" s="113"/>
    </row>
    <row r="37" customHeight="1" spans="1:11">
      <c r="A37" s="63">
        <v>43663</v>
      </c>
      <c r="B37" s="8" t="s">
        <v>11</v>
      </c>
      <c r="C37" s="8" t="s">
        <v>12</v>
      </c>
      <c r="D37" s="64">
        <f t="shared" si="2"/>
        <v>1681</v>
      </c>
      <c r="E37" s="6"/>
      <c r="F37" s="6"/>
      <c r="G37" s="65">
        <v>0</v>
      </c>
      <c r="H37" s="66">
        <f t="shared" si="0"/>
        <v>1681</v>
      </c>
      <c r="I37" s="77">
        <f>[1]对账!$B$52</f>
        <v>0</v>
      </c>
      <c r="J37" s="64">
        <f t="shared" si="1"/>
        <v>0</v>
      </c>
      <c r="K37" s="80"/>
    </row>
    <row r="38" customHeight="1" spans="1:11">
      <c r="A38" s="63">
        <v>43663</v>
      </c>
      <c r="B38" s="8" t="s">
        <v>13</v>
      </c>
      <c r="C38" s="8" t="s">
        <v>14</v>
      </c>
      <c r="D38" s="64">
        <f t="shared" si="2"/>
        <v>7596</v>
      </c>
      <c r="E38" s="6"/>
      <c r="F38" s="6"/>
      <c r="G38" s="65">
        <v>4031</v>
      </c>
      <c r="H38" s="66">
        <f t="shared" si="0"/>
        <v>3565</v>
      </c>
      <c r="I38" s="77">
        <v>4031</v>
      </c>
      <c r="J38" s="64">
        <f t="shared" si="1"/>
        <v>0</v>
      </c>
      <c r="K38" s="80"/>
    </row>
    <row r="39" customHeight="1" spans="1:11">
      <c r="A39" s="63">
        <v>43663</v>
      </c>
      <c r="B39" s="8" t="s">
        <v>15</v>
      </c>
      <c r="C39" s="8" t="s">
        <v>16</v>
      </c>
      <c r="D39" s="64">
        <f t="shared" si="2"/>
        <v>10179</v>
      </c>
      <c r="E39" s="6"/>
      <c r="F39" s="6"/>
      <c r="G39" s="65">
        <v>75</v>
      </c>
      <c r="H39" s="66">
        <f t="shared" si="0"/>
        <v>10104</v>
      </c>
      <c r="I39" s="77">
        <v>70</v>
      </c>
      <c r="J39" s="64">
        <f t="shared" si="1"/>
        <v>5</v>
      </c>
      <c r="K39" s="80"/>
    </row>
    <row r="40" customHeight="1" spans="1:11">
      <c r="A40" s="63">
        <v>43663</v>
      </c>
      <c r="B40" s="8" t="s">
        <v>18</v>
      </c>
      <c r="C40" s="8" t="s">
        <v>19</v>
      </c>
      <c r="D40" s="64">
        <f t="shared" si="2"/>
        <v>8983.5</v>
      </c>
      <c r="E40" s="6"/>
      <c r="F40" s="6"/>
      <c r="G40" s="65">
        <v>2272</v>
      </c>
      <c r="H40" s="66">
        <f t="shared" si="0"/>
        <v>6711.5</v>
      </c>
      <c r="I40" s="77">
        <v>2272</v>
      </c>
      <c r="J40" s="64">
        <f t="shared" si="1"/>
        <v>0</v>
      </c>
      <c r="K40" s="101"/>
    </row>
    <row r="41" customHeight="1" spans="1:11">
      <c r="A41" s="67">
        <v>43663</v>
      </c>
      <c r="B41" s="68" t="s">
        <v>18</v>
      </c>
      <c r="C41" s="68" t="s">
        <v>20</v>
      </c>
      <c r="D41" s="69">
        <f t="shared" si="2"/>
        <v>5606</v>
      </c>
      <c r="E41" s="70"/>
      <c r="F41" s="70"/>
      <c r="G41" s="71">
        <v>2493</v>
      </c>
      <c r="H41" s="72">
        <f t="shared" si="0"/>
        <v>3113</v>
      </c>
      <c r="I41" s="81">
        <v>2493</v>
      </c>
      <c r="J41" s="69">
        <f t="shared" si="1"/>
        <v>0</v>
      </c>
      <c r="K41" s="113"/>
    </row>
    <row r="42" customHeight="1" spans="1:11">
      <c r="A42" s="63">
        <v>43664</v>
      </c>
      <c r="B42" s="8" t="s">
        <v>11</v>
      </c>
      <c r="C42" s="8" t="s">
        <v>12</v>
      </c>
      <c r="D42" s="64">
        <f t="shared" si="2"/>
        <v>1681</v>
      </c>
      <c r="E42" s="6"/>
      <c r="F42" s="6"/>
      <c r="G42" s="65">
        <v>109</v>
      </c>
      <c r="H42" s="66">
        <f t="shared" si="0"/>
        <v>1572</v>
      </c>
      <c r="I42" s="77">
        <f>[1]对账!$B$53</f>
        <v>109</v>
      </c>
      <c r="J42" s="64">
        <f t="shared" si="1"/>
        <v>0</v>
      </c>
      <c r="K42" s="80"/>
    </row>
    <row r="43" customHeight="1" spans="1:11">
      <c r="A43" s="63">
        <v>43664</v>
      </c>
      <c r="B43" s="8" t="s">
        <v>13</v>
      </c>
      <c r="C43" s="8" t="s">
        <v>14</v>
      </c>
      <c r="D43" s="64">
        <f t="shared" si="2"/>
        <v>3565</v>
      </c>
      <c r="E43" s="6"/>
      <c r="F43" s="6"/>
      <c r="G43" s="65">
        <v>3563</v>
      </c>
      <c r="H43" s="66">
        <f t="shared" si="0"/>
        <v>2</v>
      </c>
      <c r="I43" s="77">
        <v>3867</v>
      </c>
      <c r="J43" s="64">
        <f t="shared" si="1"/>
        <v>-304</v>
      </c>
      <c r="K43" s="80" t="s">
        <v>17</v>
      </c>
    </row>
    <row r="44" customHeight="1" spans="1:11">
      <c r="A44" s="63">
        <v>43664</v>
      </c>
      <c r="B44" s="8" t="s">
        <v>15</v>
      </c>
      <c r="C44" s="8" t="s">
        <v>16</v>
      </c>
      <c r="D44" s="64">
        <f t="shared" si="2"/>
        <v>10104</v>
      </c>
      <c r="E44" s="6"/>
      <c r="F44" s="6"/>
      <c r="G44" s="65">
        <v>81</v>
      </c>
      <c r="H44" s="66">
        <f t="shared" si="0"/>
        <v>10023</v>
      </c>
      <c r="I44" s="77">
        <v>88</v>
      </c>
      <c r="J44" s="64">
        <f t="shared" si="1"/>
        <v>-7</v>
      </c>
      <c r="K44" s="80"/>
    </row>
    <row r="45" customHeight="1" spans="1:11">
      <c r="A45" s="63">
        <v>43664</v>
      </c>
      <c r="B45" s="8" t="s">
        <v>18</v>
      </c>
      <c r="C45" s="8" t="s">
        <v>19</v>
      </c>
      <c r="D45" s="64">
        <f t="shared" si="2"/>
        <v>6711.5</v>
      </c>
      <c r="E45" s="6"/>
      <c r="F45" s="6"/>
      <c r="G45" s="65">
        <v>2698</v>
      </c>
      <c r="H45" s="66">
        <f t="shared" si="0"/>
        <v>4013.5</v>
      </c>
      <c r="I45" s="77">
        <v>2590</v>
      </c>
      <c r="J45" s="64">
        <f t="shared" si="1"/>
        <v>108</v>
      </c>
      <c r="K45" s="101"/>
    </row>
    <row r="46" customHeight="1" spans="1:11">
      <c r="A46" s="67">
        <v>43664</v>
      </c>
      <c r="B46" s="68" t="s">
        <v>18</v>
      </c>
      <c r="C46" s="68" t="s">
        <v>20</v>
      </c>
      <c r="D46" s="69">
        <f t="shared" si="2"/>
        <v>3113</v>
      </c>
      <c r="E46" s="70"/>
      <c r="F46" s="70"/>
      <c r="G46" s="71">
        <v>1708</v>
      </c>
      <c r="H46" s="72">
        <f t="shared" si="0"/>
        <v>1405</v>
      </c>
      <c r="I46" s="81">
        <v>1708</v>
      </c>
      <c r="J46" s="69">
        <f t="shared" si="1"/>
        <v>0</v>
      </c>
      <c r="K46" s="113"/>
    </row>
    <row r="47" customHeight="1" spans="1:11">
      <c r="A47" s="52" t="s">
        <v>0</v>
      </c>
      <c r="B47" s="53" t="s">
        <v>1</v>
      </c>
      <c r="C47" s="53" t="s">
        <v>2</v>
      </c>
      <c r="D47" s="54" t="s">
        <v>3</v>
      </c>
      <c r="E47" s="53" t="s">
        <v>4</v>
      </c>
      <c r="F47" s="53" t="s">
        <v>5</v>
      </c>
      <c r="G47" s="55" t="s">
        <v>6</v>
      </c>
      <c r="H47" s="56" t="s">
        <v>7</v>
      </c>
      <c r="I47" s="73" t="s">
        <v>8</v>
      </c>
      <c r="J47" s="54" t="s">
        <v>9</v>
      </c>
      <c r="K47" s="74" t="s">
        <v>10</v>
      </c>
    </row>
    <row r="48" customHeight="1" spans="1:11">
      <c r="A48" s="63">
        <v>43665</v>
      </c>
      <c r="B48" s="8" t="s">
        <v>11</v>
      </c>
      <c r="C48" s="8" t="s">
        <v>12</v>
      </c>
      <c r="D48" s="64">
        <f>H42</f>
        <v>1572</v>
      </c>
      <c r="E48" s="6"/>
      <c r="F48" s="6"/>
      <c r="G48" s="65">
        <v>10</v>
      </c>
      <c r="H48" s="66">
        <f>D48-G48+E48+F48</f>
        <v>1562</v>
      </c>
      <c r="I48" s="77">
        <f>[1]对账!$B$54</f>
        <v>10</v>
      </c>
      <c r="J48" s="64">
        <f>G48-I48</f>
        <v>0</v>
      </c>
      <c r="K48" s="80"/>
    </row>
    <row r="49" customHeight="1" spans="1:11">
      <c r="A49" s="63">
        <v>43665</v>
      </c>
      <c r="B49" s="8" t="s">
        <v>13</v>
      </c>
      <c r="C49" s="8" t="s">
        <v>14</v>
      </c>
      <c r="D49" s="64">
        <f>H43</f>
        <v>2</v>
      </c>
      <c r="E49" s="6">
        <v>10000</v>
      </c>
      <c r="F49" s="6"/>
      <c r="G49" s="65">
        <v>4078</v>
      </c>
      <c r="H49" s="66">
        <f>D49-G49+E49+F49</f>
        <v>5924</v>
      </c>
      <c r="I49" s="77">
        <v>3774</v>
      </c>
      <c r="J49" s="64">
        <f>G49-I49</f>
        <v>304</v>
      </c>
      <c r="K49" s="80" t="s">
        <v>17</v>
      </c>
    </row>
    <row r="50" customHeight="1" spans="1:11">
      <c r="A50" s="63">
        <v>43665</v>
      </c>
      <c r="B50" s="8" t="s">
        <v>15</v>
      </c>
      <c r="C50" s="8" t="s">
        <v>16</v>
      </c>
      <c r="D50" s="64">
        <f>H44</f>
        <v>10023</v>
      </c>
      <c r="E50" s="6"/>
      <c r="F50" s="6"/>
      <c r="G50" s="65">
        <v>780</v>
      </c>
      <c r="H50" s="66">
        <f>D50-G50+E50+F50</f>
        <v>9243</v>
      </c>
      <c r="I50" s="77">
        <v>789</v>
      </c>
      <c r="J50" s="64">
        <f>G50-I50</f>
        <v>-9</v>
      </c>
      <c r="K50" s="80"/>
    </row>
    <row r="51" customHeight="1" spans="1:11">
      <c r="A51" s="63">
        <v>43665</v>
      </c>
      <c r="B51" s="8" t="s">
        <v>18</v>
      </c>
      <c r="C51" s="8" t="s">
        <v>19</v>
      </c>
      <c r="D51" s="64">
        <f>H45</f>
        <v>4013.5</v>
      </c>
      <c r="E51" s="6"/>
      <c r="F51" s="6"/>
      <c r="G51" s="65">
        <v>3136</v>
      </c>
      <c r="H51" s="66">
        <f>D51-G51+E51+F51</f>
        <v>877.5</v>
      </c>
      <c r="I51" s="77">
        <v>2856</v>
      </c>
      <c r="J51" s="64">
        <f>G51-I51</f>
        <v>280</v>
      </c>
      <c r="K51" s="101"/>
    </row>
    <row r="52" customHeight="1" spans="1:11">
      <c r="A52" s="67">
        <v>43665</v>
      </c>
      <c r="B52" s="68" t="s">
        <v>18</v>
      </c>
      <c r="C52" s="68" t="s">
        <v>20</v>
      </c>
      <c r="D52" s="69">
        <f>H46</f>
        <v>1405</v>
      </c>
      <c r="E52" s="70">
        <v>10000</v>
      </c>
      <c r="F52" s="70"/>
      <c r="G52" s="71">
        <f>2048-275</f>
        <v>1773</v>
      </c>
      <c r="H52" s="72">
        <f>D52-G52+E52+F52</f>
        <v>9632</v>
      </c>
      <c r="I52" s="81">
        <v>2048</v>
      </c>
      <c r="J52" s="69">
        <f>G52-I52</f>
        <v>-275</v>
      </c>
      <c r="K52" s="113" t="s">
        <v>24</v>
      </c>
    </row>
    <row r="53" customHeight="1" spans="1:11">
      <c r="A53" s="52" t="s">
        <v>0</v>
      </c>
      <c r="B53" s="53" t="s">
        <v>1</v>
      </c>
      <c r="C53" s="53" t="s">
        <v>2</v>
      </c>
      <c r="D53" s="54" t="s">
        <v>3</v>
      </c>
      <c r="E53" s="53" t="s">
        <v>4</v>
      </c>
      <c r="F53" s="53" t="s">
        <v>5</v>
      </c>
      <c r="G53" s="55" t="s">
        <v>6</v>
      </c>
      <c r="H53" s="56" t="s">
        <v>7</v>
      </c>
      <c r="I53" s="73" t="s">
        <v>8</v>
      </c>
      <c r="J53" s="54" t="s">
        <v>9</v>
      </c>
      <c r="K53" s="74" t="s">
        <v>10</v>
      </c>
    </row>
    <row r="54" customHeight="1" spans="1:11">
      <c r="A54" s="63">
        <v>43666</v>
      </c>
      <c r="B54" s="8" t="s">
        <v>11</v>
      </c>
      <c r="C54" s="8" t="s">
        <v>12</v>
      </c>
      <c r="D54" s="64">
        <f>H48</f>
        <v>1562</v>
      </c>
      <c r="E54" s="6"/>
      <c r="F54" s="6"/>
      <c r="G54" s="65"/>
      <c r="H54" s="66">
        <f>D54-G54+E54+F54</f>
        <v>1562</v>
      </c>
      <c r="I54" s="77">
        <f>[6]对账!$B$55</f>
        <v>0</v>
      </c>
      <c r="J54" s="64">
        <f>G54-I54</f>
        <v>0</v>
      </c>
      <c r="K54" s="80"/>
    </row>
    <row r="55" customHeight="1" spans="1:11">
      <c r="A55" s="63">
        <v>43666</v>
      </c>
      <c r="B55" s="8" t="s">
        <v>13</v>
      </c>
      <c r="C55" s="8" t="s">
        <v>14</v>
      </c>
      <c r="D55" s="64">
        <f>H49</f>
        <v>5924</v>
      </c>
      <c r="E55" s="6"/>
      <c r="F55" s="6">
        <v>39</v>
      </c>
      <c r="G55" s="65">
        <v>4252</v>
      </c>
      <c r="H55" s="66">
        <f>D55-G55+E55+F55</f>
        <v>1711</v>
      </c>
      <c r="I55" s="77">
        <v>4213</v>
      </c>
      <c r="J55" s="64">
        <f>G55-I55</f>
        <v>39</v>
      </c>
      <c r="K55" s="80" t="s">
        <v>25</v>
      </c>
    </row>
    <row r="56" customHeight="1" spans="1:11">
      <c r="A56" s="63">
        <v>43666</v>
      </c>
      <c r="B56" s="8" t="s">
        <v>15</v>
      </c>
      <c r="C56" s="8" t="s">
        <v>16</v>
      </c>
      <c r="D56" s="64">
        <f>H50</f>
        <v>9243</v>
      </c>
      <c r="E56" s="6"/>
      <c r="F56" s="6"/>
      <c r="G56" s="65">
        <v>76</v>
      </c>
      <c r="H56" s="66">
        <f>D56-G56+E56+F56</f>
        <v>9167</v>
      </c>
      <c r="I56" s="77">
        <v>73</v>
      </c>
      <c r="J56" s="64">
        <f>G56-I56</f>
        <v>3</v>
      </c>
      <c r="K56" s="80"/>
    </row>
    <row r="57" customHeight="1" spans="1:11">
      <c r="A57" s="63">
        <v>43666</v>
      </c>
      <c r="B57" s="8" t="s">
        <v>18</v>
      </c>
      <c r="C57" s="8" t="s">
        <v>19</v>
      </c>
      <c r="D57" s="64">
        <f>H51</f>
        <v>877.5</v>
      </c>
      <c r="E57" s="6">
        <v>10000</v>
      </c>
      <c r="F57" s="6"/>
      <c r="G57" s="65">
        <v>1436</v>
      </c>
      <c r="H57" s="66">
        <f>D57-G57+E57+F57</f>
        <v>9441.5</v>
      </c>
      <c r="I57" s="77">
        <v>1436</v>
      </c>
      <c r="J57" s="64">
        <f>G57-I57</f>
        <v>0</v>
      </c>
      <c r="K57" s="101"/>
    </row>
    <row r="58" customHeight="1" spans="1:11">
      <c r="A58" s="67">
        <v>43666</v>
      </c>
      <c r="B58" s="68" t="s">
        <v>18</v>
      </c>
      <c r="C58" s="68" t="s">
        <v>20</v>
      </c>
      <c r="D58" s="69">
        <f>H52</f>
        <v>9632</v>
      </c>
      <c r="E58" s="70"/>
      <c r="F58" s="70"/>
      <c r="G58" s="71">
        <v>3895</v>
      </c>
      <c r="H58" s="72">
        <f>D58-G58+E58+F58</f>
        <v>5737</v>
      </c>
      <c r="I58" s="81">
        <v>3895</v>
      </c>
      <c r="J58" s="69">
        <f>G58-I58</f>
        <v>0</v>
      </c>
      <c r="K58" s="113"/>
    </row>
    <row r="59" customHeight="1" spans="1:11">
      <c r="A59" s="52" t="s">
        <v>0</v>
      </c>
      <c r="B59" s="53" t="s">
        <v>1</v>
      </c>
      <c r="C59" s="53" t="s">
        <v>2</v>
      </c>
      <c r="D59" s="54" t="s">
        <v>3</v>
      </c>
      <c r="E59" s="53" t="s">
        <v>4</v>
      </c>
      <c r="F59" s="53" t="s">
        <v>5</v>
      </c>
      <c r="G59" s="55" t="s">
        <v>6</v>
      </c>
      <c r="H59" s="56" t="s">
        <v>7</v>
      </c>
      <c r="I59" s="73" t="s">
        <v>8</v>
      </c>
      <c r="J59" s="54" t="s">
        <v>9</v>
      </c>
      <c r="K59" s="74" t="s">
        <v>10</v>
      </c>
    </row>
    <row r="60" customHeight="1" spans="1:11">
      <c r="A60" s="63">
        <v>43667</v>
      </c>
      <c r="B60" s="8" t="s">
        <v>11</v>
      </c>
      <c r="C60" s="8" t="s">
        <v>12</v>
      </c>
      <c r="D60" s="64">
        <f>H54</f>
        <v>1562</v>
      </c>
      <c r="E60" s="6"/>
      <c r="F60" s="6"/>
      <c r="G60" s="65"/>
      <c r="H60" s="66">
        <f>D60-G60+E60+F60</f>
        <v>1562</v>
      </c>
      <c r="I60" s="77">
        <f>[6]对账!$B$56</f>
        <v>138</v>
      </c>
      <c r="J60" s="64">
        <f>G60-I60</f>
        <v>-138</v>
      </c>
      <c r="K60" s="80"/>
    </row>
    <row r="61" customHeight="1" spans="1:11">
      <c r="A61" s="63">
        <v>43667</v>
      </c>
      <c r="B61" s="8" t="s">
        <v>13</v>
      </c>
      <c r="C61" s="8" t="s">
        <v>14</v>
      </c>
      <c r="D61" s="64">
        <f>H55</f>
        <v>1711</v>
      </c>
      <c r="E61" s="6">
        <v>10000</v>
      </c>
      <c r="F61" s="6"/>
      <c r="G61" s="65">
        <v>3887</v>
      </c>
      <c r="H61" s="66">
        <f>D61-G61+E61+F61</f>
        <v>7824</v>
      </c>
      <c r="I61" s="77">
        <v>3877</v>
      </c>
      <c r="J61" s="64">
        <f>G61-I61</f>
        <v>10</v>
      </c>
      <c r="K61" s="80" t="s">
        <v>17</v>
      </c>
    </row>
    <row r="62" customHeight="1" spans="1:11">
      <c r="A62" s="63">
        <v>43667</v>
      </c>
      <c r="B62" s="8" t="s">
        <v>15</v>
      </c>
      <c r="C62" s="8" t="s">
        <v>16</v>
      </c>
      <c r="D62" s="64">
        <f>H56</f>
        <v>9167</v>
      </c>
      <c r="E62" s="6"/>
      <c r="F62" s="6"/>
      <c r="G62" s="65">
        <v>54</v>
      </c>
      <c r="H62" s="66">
        <f>D62-G62+E62+F62</f>
        <v>9113</v>
      </c>
      <c r="I62" s="77">
        <v>75</v>
      </c>
      <c r="J62" s="64">
        <f>G62-I62</f>
        <v>-21</v>
      </c>
      <c r="K62" s="80" t="s">
        <v>17</v>
      </c>
    </row>
    <row r="63" customHeight="1" spans="1:11">
      <c r="A63" s="63">
        <v>43667</v>
      </c>
      <c r="B63" s="8" t="s">
        <v>18</v>
      </c>
      <c r="C63" s="8" t="s">
        <v>19</v>
      </c>
      <c r="D63" s="64">
        <f>H57</f>
        <v>9441.5</v>
      </c>
      <c r="E63" s="6"/>
      <c r="F63" s="6">
        <v>49</v>
      </c>
      <c r="G63" s="65">
        <v>3249</v>
      </c>
      <c r="H63" s="66">
        <f>D63-G63+E63+F63</f>
        <v>6241.5</v>
      </c>
      <c r="I63" s="77">
        <v>3200</v>
      </c>
      <c r="J63" s="64">
        <f>G63-I63</f>
        <v>49</v>
      </c>
      <c r="K63" s="101"/>
    </row>
    <row r="64" customHeight="1" spans="1:11">
      <c r="A64" s="67">
        <v>43667</v>
      </c>
      <c r="B64" s="68" t="s">
        <v>18</v>
      </c>
      <c r="C64" s="68" t="s">
        <v>20</v>
      </c>
      <c r="D64" s="69">
        <f>H58</f>
        <v>5737</v>
      </c>
      <c r="E64" s="70"/>
      <c r="F64" s="70"/>
      <c r="G64" s="71">
        <v>2248</v>
      </c>
      <c r="H64" s="72">
        <f>D64-G64+E64+F64</f>
        <v>3489</v>
      </c>
      <c r="I64" s="81">
        <v>2248</v>
      </c>
      <c r="J64" s="69">
        <f>G64-I64</f>
        <v>0</v>
      </c>
      <c r="K64" s="113"/>
    </row>
    <row r="65" customHeight="1" spans="1:11">
      <c r="A65" s="52" t="s">
        <v>0</v>
      </c>
      <c r="B65" s="53" t="s">
        <v>1</v>
      </c>
      <c r="C65" s="53" t="s">
        <v>2</v>
      </c>
      <c r="D65" s="54" t="s">
        <v>3</v>
      </c>
      <c r="E65" s="53" t="s">
        <v>4</v>
      </c>
      <c r="F65" s="53" t="s">
        <v>5</v>
      </c>
      <c r="G65" s="55" t="s">
        <v>6</v>
      </c>
      <c r="H65" s="56" t="s">
        <v>7</v>
      </c>
      <c r="I65" s="73" t="s">
        <v>8</v>
      </c>
      <c r="J65" s="54" t="s">
        <v>9</v>
      </c>
      <c r="K65" s="74" t="s">
        <v>10</v>
      </c>
    </row>
    <row r="66" customHeight="1" spans="1:11">
      <c r="A66" s="63">
        <v>43668</v>
      </c>
      <c r="B66" s="8" t="s">
        <v>11</v>
      </c>
      <c r="C66" s="8" t="s">
        <v>12</v>
      </c>
      <c r="D66" s="64">
        <f>H60</f>
        <v>1562</v>
      </c>
      <c r="E66" s="6"/>
      <c r="F66" s="6"/>
      <c r="G66" s="65"/>
      <c r="H66" s="66">
        <f>D66-G66+E66+F66</f>
        <v>1562</v>
      </c>
      <c r="I66" s="77">
        <f>[6]对账!$B$57</f>
        <v>0</v>
      </c>
      <c r="J66" s="64">
        <f>G66-I66</f>
        <v>0</v>
      </c>
      <c r="K66" s="80"/>
    </row>
    <row r="67" customHeight="1" spans="1:11">
      <c r="A67" s="63">
        <v>43668</v>
      </c>
      <c r="B67" s="8" t="s">
        <v>13</v>
      </c>
      <c r="C67" s="8" t="s">
        <v>14</v>
      </c>
      <c r="D67" s="64">
        <f>H61</f>
        <v>7824</v>
      </c>
      <c r="E67" s="6"/>
      <c r="F67" s="6"/>
      <c r="G67" s="65">
        <v>98</v>
      </c>
      <c r="H67" s="66">
        <f>D67-G67+E67+F67</f>
        <v>7726</v>
      </c>
      <c r="I67" s="77">
        <v>108</v>
      </c>
      <c r="J67" s="64">
        <f>G67-I67</f>
        <v>-10</v>
      </c>
      <c r="K67" s="80" t="s">
        <v>17</v>
      </c>
    </row>
    <row r="68" customHeight="1" spans="1:11">
      <c r="A68" s="63">
        <v>43668</v>
      </c>
      <c r="B68" s="8" t="s">
        <v>15</v>
      </c>
      <c r="C68" s="8" t="s">
        <v>16</v>
      </c>
      <c r="D68" s="64">
        <f>H62</f>
        <v>9113</v>
      </c>
      <c r="E68" s="6"/>
      <c r="F68" s="6"/>
      <c r="G68" s="65">
        <v>2450</v>
      </c>
      <c r="H68" s="66">
        <f>D68-G68+E68+F68</f>
        <v>6663</v>
      </c>
      <c r="I68" s="77">
        <v>2423</v>
      </c>
      <c r="J68" s="64">
        <f>G68-I68</f>
        <v>27</v>
      </c>
      <c r="K68" s="80" t="s">
        <v>17</v>
      </c>
    </row>
    <row r="69" customHeight="1" spans="1:11">
      <c r="A69" s="63">
        <v>43668</v>
      </c>
      <c r="B69" s="8" t="s">
        <v>18</v>
      </c>
      <c r="C69" s="8" t="s">
        <v>19</v>
      </c>
      <c r="D69" s="64">
        <f>H63</f>
        <v>6241.5</v>
      </c>
      <c r="E69" s="6">
        <v>10000</v>
      </c>
      <c r="F69" s="6"/>
      <c r="G69" s="65">
        <v>4968</v>
      </c>
      <c r="H69" s="66">
        <f>D69-G69+E69+F69</f>
        <v>11273.5</v>
      </c>
      <c r="I69" s="77">
        <v>4968</v>
      </c>
      <c r="J69" s="64">
        <f>G69-I69</f>
        <v>0</v>
      </c>
      <c r="K69" s="101"/>
    </row>
    <row r="70" customHeight="1" spans="1:11">
      <c r="A70" s="84">
        <v>43668</v>
      </c>
      <c r="B70" s="85" t="s">
        <v>18</v>
      </c>
      <c r="C70" s="85" t="s">
        <v>20</v>
      </c>
      <c r="D70" s="86">
        <f>H64</f>
        <v>3489</v>
      </c>
      <c r="E70" s="87">
        <v>10000</v>
      </c>
      <c r="F70" s="87"/>
      <c r="G70" s="88">
        <v>2321</v>
      </c>
      <c r="H70" s="89">
        <f>D70-G70+E70+F70</f>
        <v>11168</v>
      </c>
      <c r="I70" s="95">
        <v>2321</v>
      </c>
      <c r="J70" s="86">
        <f>G70-I70</f>
        <v>0</v>
      </c>
      <c r="K70" s="114"/>
    </row>
    <row r="71" customHeight="1" spans="1:11">
      <c r="A71" s="99" t="s">
        <v>0</v>
      </c>
      <c r="B71" s="60" t="s">
        <v>1</v>
      </c>
      <c r="C71" s="60" t="s">
        <v>2</v>
      </c>
      <c r="D71" s="59" t="s">
        <v>3</v>
      </c>
      <c r="E71" s="60" t="s">
        <v>4</v>
      </c>
      <c r="F71" s="60" t="s">
        <v>5</v>
      </c>
      <c r="G71" s="61" t="s">
        <v>6</v>
      </c>
      <c r="H71" s="62" t="s">
        <v>7</v>
      </c>
      <c r="I71" s="75" t="s">
        <v>8</v>
      </c>
      <c r="J71" s="59" t="s">
        <v>9</v>
      </c>
      <c r="K71" s="100" t="s">
        <v>10</v>
      </c>
    </row>
    <row r="72" customHeight="1" spans="1:11">
      <c r="A72" s="63">
        <v>43669</v>
      </c>
      <c r="B72" s="8" t="s">
        <v>11</v>
      </c>
      <c r="C72" s="8" t="s">
        <v>12</v>
      </c>
      <c r="D72" s="64">
        <f>H66</f>
        <v>1562</v>
      </c>
      <c r="E72" s="6"/>
      <c r="F72" s="6"/>
      <c r="G72" s="65"/>
      <c r="H72" s="66">
        <f>D72-G72+E72+F72</f>
        <v>1562</v>
      </c>
      <c r="I72" s="77">
        <f>[6]对账!$B$58</f>
        <v>158</v>
      </c>
      <c r="J72" s="64">
        <f>G72-I72</f>
        <v>-158</v>
      </c>
      <c r="K72" s="80"/>
    </row>
    <row r="73" customHeight="1" spans="1:11">
      <c r="A73" s="63">
        <v>43669</v>
      </c>
      <c r="B73" s="8" t="s">
        <v>13</v>
      </c>
      <c r="C73" s="8" t="s">
        <v>14</v>
      </c>
      <c r="D73" s="64">
        <f>H67</f>
        <v>7726</v>
      </c>
      <c r="E73" s="6"/>
      <c r="F73" s="6"/>
      <c r="G73" s="65">
        <v>4969</v>
      </c>
      <c r="H73" s="66">
        <f>D73-G73+E73+F73</f>
        <v>2757</v>
      </c>
      <c r="I73" s="77">
        <v>4969</v>
      </c>
      <c r="J73" s="64">
        <f>G73-I73</f>
        <v>0</v>
      </c>
      <c r="K73" s="80"/>
    </row>
    <row r="74" customHeight="1" spans="1:11">
      <c r="A74" s="63">
        <v>43669</v>
      </c>
      <c r="B74" s="8" t="s">
        <v>15</v>
      </c>
      <c r="C74" s="8" t="s">
        <v>16</v>
      </c>
      <c r="D74" s="64">
        <f>H68</f>
        <v>6663</v>
      </c>
      <c r="E74" s="6"/>
      <c r="F74" s="6"/>
      <c r="G74" s="65">
        <v>97</v>
      </c>
      <c r="H74" s="66">
        <f>D74-G74+E74+F74</f>
        <v>6566</v>
      </c>
      <c r="I74" s="77">
        <v>95</v>
      </c>
      <c r="J74" s="64">
        <f>G74-I74</f>
        <v>2</v>
      </c>
      <c r="K74" s="80"/>
    </row>
    <row r="75" customHeight="1" spans="1:11">
      <c r="A75" s="63">
        <v>43669</v>
      </c>
      <c r="B75" s="8" t="s">
        <v>18</v>
      </c>
      <c r="C75" s="8" t="s">
        <v>19</v>
      </c>
      <c r="D75" s="64">
        <f>H69</f>
        <v>11273.5</v>
      </c>
      <c r="E75" s="6"/>
      <c r="F75" s="6"/>
      <c r="G75" s="65">
        <v>2577</v>
      </c>
      <c r="H75" s="66">
        <f>D75-G75+E75+F75</f>
        <v>8696.5</v>
      </c>
      <c r="I75" s="77">
        <v>2577</v>
      </c>
      <c r="J75" s="64">
        <f>G75-I75</f>
        <v>0</v>
      </c>
      <c r="K75" s="101"/>
    </row>
    <row r="76" customHeight="1" spans="1:11">
      <c r="A76" s="84">
        <v>43669</v>
      </c>
      <c r="B76" s="85" t="s">
        <v>18</v>
      </c>
      <c r="C76" s="85" t="s">
        <v>20</v>
      </c>
      <c r="D76" s="86">
        <f>H70</f>
        <v>11168</v>
      </c>
      <c r="E76" s="87"/>
      <c r="F76" s="87"/>
      <c r="G76" s="88">
        <v>2381</v>
      </c>
      <c r="H76" s="89">
        <f>D76-G76+E76+F76</f>
        <v>8787</v>
      </c>
      <c r="I76" s="95">
        <f>[2]账单!$B$25</f>
        <v>2381</v>
      </c>
      <c r="J76" s="86">
        <f>G76-I76</f>
        <v>0</v>
      </c>
      <c r="K76" s="96"/>
    </row>
    <row r="77" customHeight="1" spans="1:11">
      <c r="A77" s="99" t="s">
        <v>0</v>
      </c>
      <c r="B77" s="60" t="s">
        <v>1</v>
      </c>
      <c r="C77" s="60" t="s">
        <v>2</v>
      </c>
      <c r="D77" s="59" t="s">
        <v>3</v>
      </c>
      <c r="E77" s="60" t="s">
        <v>4</v>
      </c>
      <c r="F77" s="60" t="s">
        <v>5</v>
      </c>
      <c r="G77" s="61" t="s">
        <v>6</v>
      </c>
      <c r="H77" s="62" t="s">
        <v>7</v>
      </c>
      <c r="I77" s="75" t="s">
        <v>8</v>
      </c>
      <c r="J77" s="59" t="s">
        <v>9</v>
      </c>
      <c r="K77" s="100" t="s">
        <v>10</v>
      </c>
    </row>
    <row r="78" customHeight="1" spans="1:11">
      <c r="A78" s="63">
        <v>43670</v>
      </c>
      <c r="B78" s="8" t="s">
        <v>11</v>
      </c>
      <c r="C78" s="8" t="s">
        <v>12</v>
      </c>
      <c r="D78" s="64">
        <f>H72</f>
        <v>1562</v>
      </c>
      <c r="E78" s="6"/>
      <c r="F78" s="6"/>
      <c r="G78" s="65"/>
      <c r="H78" s="66">
        <f>D78-G78+E78+F78</f>
        <v>1562</v>
      </c>
      <c r="I78" s="77">
        <f>[6]对账!$B$59</f>
        <v>0</v>
      </c>
      <c r="J78" s="64">
        <f>G78-I78</f>
        <v>0</v>
      </c>
      <c r="K78" s="80"/>
    </row>
    <row r="79" customHeight="1" spans="1:11">
      <c r="A79" s="63">
        <v>43670</v>
      </c>
      <c r="B79" s="8" t="s">
        <v>13</v>
      </c>
      <c r="C79" s="8" t="s">
        <v>14</v>
      </c>
      <c r="D79" s="64">
        <f>H73</f>
        <v>2757</v>
      </c>
      <c r="E79" s="6"/>
      <c r="F79" s="6"/>
      <c r="G79" s="65">
        <v>0</v>
      </c>
      <c r="H79" s="66">
        <f>D79-G79+E79+F79</f>
        <v>2757</v>
      </c>
      <c r="I79" s="77">
        <v>0</v>
      </c>
      <c r="J79" s="64">
        <f>G79-I79</f>
        <v>0</v>
      </c>
      <c r="K79" s="80"/>
    </row>
    <row r="80" customHeight="1" spans="1:11">
      <c r="A80" s="63">
        <v>43670</v>
      </c>
      <c r="B80" s="8" t="s">
        <v>15</v>
      </c>
      <c r="C80" s="8" t="s">
        <v>16</v>
      </c>
      <c r="D80" s="64">
        <f>H74</f>
        <v>6566</v>
      </c>
      <c r="E80" s="6"/>
      <c r="F80" s="6"/>
      <c r="G80" s="65">
        <v>2478</v>
      </c>
      <c r="H80" s="66">
        <f>D80-G80+E80+F80</f>
        <v>4088</v>
      </c>
      <c r="I80" s="77">
        <v>2480</v>
      </c>
      <c r="J80" s="64">
        <f>G80-I80</f>
        <v>-2</v>
      </c>
      <c r="K80" s="80"/>
    </row>
    <row r="81" customHeight="1" spans="1:11">
      <c r="A81" s="63">
        <v>43670</v>
      </c>
      <c r="B81" s="8" t="s">
        <v>18</v>
      </c>
      <c r="C81" s="8" t="s">
        <v>19</v>
      </c>
      <c r="D81" s="64">
        <f>H75</f>
        <v>8696.5</v>
      </c>
      <c r="E81" s="6"/>
      <c r="F81" s="6"/>
      <c r="G81" s="65">
        <v>3813</v>
      </c>
      <c r="H81" s="66">
        <f>D81-G81+E81+F81</f>
        <v>4883.5</v>
      </c>
      <c r="I81" s="77">
        <v>3813</v>
      </c>
      <c r="J81" s="64">
        <f>G81-I81</f>
        <v>0</v>
      </c>
      <c r="K81" s="101"/>
    </row>
    <row r="82" customHeight="1" spans="1:11">
      <c r="A82" s="84">
        <v>43670</v>
      </c>
      <c r="B82" s="85" t="s">
        <v>18</v>
      </c>
      <c r="C82" s="85" t="s">
        <v>20</v>
      </c>
      <c r="D82" s="86">
        <f>H76</f>
        <v>8787</v>
      </c>
      <c r="E82" s="87"/>
      <c r="F82" s="87"/>
      <c r="G82" s="88">
        <v>3030</v>
      </c>
      <c r="H82" s="89">
        <f>D82-G82+E82+F82</f>
        <v>5757</v>
      </c>
      <c r="I82" s="95">
        <f>[2]账单!$B$26</f>
        <v>3030</v>
      </c>
      <c r="J82" s="86">
        <f>G82-I82</f>
        <v>0</v>
      </c>
      <c r="K82" s="96"/>
    </row>
    <row r="83" customHeight="1" spans="1:11">
      <c r="A83" s="99" t="s">
        <v>0</v>
      </c>
      <c r="B83" s="60" t="s">
        <v>1</v>
      </c>
      <c r="C83" s="60" t="s">
        <v>2</v>
      </c>
      <c r="D83" s="59" t="s">
        <v>3</v>
      </c>
      <c r="E83" s="60" t="s">
        <v>4</v>
      </c>
      <c r="F83" s="60" t="s">
        <v>5</v>
      </c>
      <c r="G83" s="61" t="s">
        <v>6</v>
      </c>
      <c r="H83" s="62" t="s">
        <v>7</v>
      </c>
      <c r="I83" s="75" t="s">
        <v>8</v>
      </c>
      <c r="J83" s="59" t="s">
        <v>9</v>
      </c>
      <c r="K83" s="100" t="s">
        <v>10</v>
      </c>
    </row>
    <row r="84" customHeight="1" spans="1:11">
      <c r="A84" s="63">
        <v>43671</v>
      </c>
      <c r="B84" s="8" t="s">
        <v>11</v>
      </c>
      <c r="C84" s="8" t="s">
        <v>12</v>
      </c>
      <c r="D84" s="64">
        <f>H78</f>
        <v>1562</v>
      </c>
      <c r="E84" s="6"/>
      <c r="F84" s="6"/>
      <c r="G84" s="65"/>
      <c r="H84" s="66">
        <f>D84-G84+E84+F84</f>
        <v>1562</v>
      </c>
      <c r="I84" s="77">
        <f>[6]对账!$B$60</f>
        <v>10</v>
      </c>
      <c r="J84" s="64">
        <f>G84-I84</f>
        <v>-10</v>
      </c>
      <c r="K84" s="80"/>
    </row>
    <row r="85" customHeight="1" spans="1:11">
      <c r="A85" s="63">
        <v>43671</v>
      </c>
      <c r="B85" s="8" t="s">
        <v>13</v>
      </c>
      <c r="C85" s="8" t="s">
        <v>14</v>
      </c>
      <c r="D85" s="64">
        <f>H79</f>
        <v>2757</v>
      </c>
      <c r="E85" s="6">
        <v>10000</v>
      </c>
      <c r="F85" s="6"/>
      <c r="G85" s="65">
        <v>4814</v>
      </c>
      <c r="H85" s="66">
        <f>D85-G85+E85+F85</f>
        <v>7943</v>
      </c>
      <c r="I85" s="77">
        <v>4814</v>
      </c>
      <c r="J85" s="64">
        <f>G85-I85</f>
        <v>0</v>
      </c>
      <c r="K85" s="80"/>
    </row>
    <row r="86" customHeight="1" spans="1:11">
      <c r="A86" s="63">
        <v>43671</v>
      </c>
      <c r="B86" s="8" t="s">
        <v>15</v>
      </c>
      <c r="C86" s="8" t="s">
        <v>16</v>
      </c>
      <c r="D86" s="64">
        <f>H80</f>
        <v>4088</v>
      </c>
      <c r="E86" s="6"/>
      <c r="F86" s="6">
        <v>3</v>
      </c>
      <c r="G86" s="65">
        <v>171</v>
      </c>
      <c r="H86" s="66">
        <f>D86-G86+E86+F86</f>
        <v>3920</v>
      </c>
      <c r="I86" s="77">
        <v>174</v>
      </c>
      <c r="J86" s="64">
        <f>G86-I86</f>
        <v>-3</v>
      </c>
      <c r="K86" s="80" t="s">
        <v>26</v>
      </c>
    </row>
    <row r="87" customHeight="1" spans="1:11">
      <c r="A87" s="63">
        <v>43671</v>
      </c>
      <c r="B87" s="8" t="s">
        <v>18</v>
      </c>
      <c r="C87" s="8" t="s">
        <v>19</v>
      </c>
      <c r="D87" s="64">
        <f>H81</f>
        <v>4883.5</v>
      </c>
      <c r="E87" s="6"/>
      <c r="F87" s="6"/>
      <c r="G87" s="65">
        <v>584</v>
      </c>
      <c r="H87" s="66">
        <f>D87-G87+E87+F87</f>
        <v>4299.5</v>
      </c>
      <c r="I87" s="77">
        <v>584</v>
      </c>
      <c r="J87" s="64">
        <f>G87-I87</f>
        <v>0</v>
      </c>
      <c r="K87" s="101"/>
    </row>
    <row r="88" customHeight="1" spans="1:11">
      <c r="A88" s="67">
        <v>43671</v>
      </c>
      <c r="B88" s="68" t="s">
        <v>18</v>
      </c>
      <c r="C88" s="68" t="s">
        <v>20</v>
      </c>
      <c r="D88" s="69">
        <f>H82</f>
        <v>5757</v>
      </c>
      <c r="E88" s="70"/>
      <c r="F88" s="70"/>
      <c r="G88" s="71">
        <v>4049</v>
      </c>
      <c r="H88" s="72">
        <f>D88-G88+E88+F88</f>
        <v>1708</v>
      </c>
      <c r="I88" s="81">
        <f>[2]账单!$B$27</f>
        <v>4049</v>
      </c>
      <c r="J88" s="69">
        <f>G88-I88</f>
        <v>0</v>
      </c>
      <c r="K88" s="82"/>
    </row>
    <row r="89" customHeight="1" spans="1:11">
      <c r="A89" s="99" t="s">
        <v>0</v>
      </c>
      <c r="B89" s="60" t="s">
        <v>1</v>
      </c>
      <c r="C89" s="60" t="s">
        <v>2</v>
      </c>
      <c r="D89" s="59" t="s">
        <v>3</v>
      </c>
      <c r="E89" s="60" t="s">
        <v>4</v>
      </c>
      <c r="F89" s="60" t="s">
        <v>5</v>
      </c>
      <c r="G89" s="61" t="s">
        <v>6</v>
      </c>
      <c r="H89" s="62" t="s">
        <v>7</v>
      </c>
      <c r="I89" s="75" t="s">
        <v>8</v>
      </c>
      <c r="J89" s="59" t="s">
        <v>9</v>
      </c>
      <c r="K89" s="100" t="s">
        <v>10</v>
      </c>
    </row>
    <row r="90" customHeight="1" spans="1:11">
      <c r="A90" s="63">
        <v>43672</v>
      </c>
      <c r="B90" s="8" t="s">
        <v>11</v>
      </c>
      <c r="C90" s="8" t="s">
        <v>12</v>
      </c>
      <c r="D90" s="64">
        <f>H84</f>
        <v>1562</v>
      </c>
      <c r="E90" s="6"/>
      <c r="F90" s="6"/>
      <c r="G90" s="65"/>
      <c r="H90" s="66">
        <f>D90-G90+E90+F90</f>
        <v>1562</v>
      </c>
      <c r="I90" s="77">
        <f>[9]对账!$B$61</f>
        <v>128</v>
      </c>
      <c r="J90" s="64">
        <f>G90-I90</f>
        <v>-128</v>
      </c>
      <c r="K90" s="80"/>
    </row>
    <row r="91" customHeight="1" spans="1:11">
      <c r="A91" s="63">
        <v>43672</v>
      </c>
      <c r="B91" s="8" t="s">
        <v>13</v>
      </c>
      <c r="C91" s="8" t="s">
        <v>14</v>
      </c>
      <c r="D91" s="64">
        <f>H85</f>
        <v>7943</v>
      </c>
      <c r="E91" s="6"/>
      <c r="F91" s="6"/>
      <c r="G91" s="65">
        <v>1917</v>
      </c>
      <c r="H91" s="66">
        <f>D91-G91+E91+F91</f>
        <v>6026</v>
      </c>
      <c r="I91" s="77">
        <f>[8]对账!$B$28</f>
        <v>1917</v>
      </c>
      <c r="J91" s="64">
        <f>G91-I91</f>
        <v>0</v>
      </c>
      <c r="K91" s="80"/>
    </row>
    <row r="92" customHeight="1" spans="1:11">
      <c r="A92" s="63">
        <v>43672</v>
      </c>
      <c r="B92" s="8" t="s">
        <v>15</v>
      </c>
      <c r="C92" s="8" t="s">
        <v>16</v>
      </c>
      <c r="D92" s="64">
        <f>H86</f>
        <v>3920</v>
      </c>
      <c r="E92" s="6"/>
      <c r="F92" s="6"/>
      <c r="G92" s="65">
        <v>2582</v>
      </c>
      <c r="H92" s="66">
        <f>D92-G92+E92+F92</f>
        <v>1338</v>
      </c>
      <c r="I92" s="77">
        <f>[5]好评返现对账!$B$39</f>
        <v>2583</v>
      </c>
      <c r="J92" s="64">
        <f>G92-I92</f>
        <v>-1</v>
      </c>
      <c r="K92" s="80"/>
    </row>
    <row r="93" customHeight="1" spans="1:11">
      <c r="A93" s="63">
        <v>43672</v>
      </c>
      <c r="B93" s="8" t="s">
        <v>18</v>
      </c>
      <c r="C93" s="8" t="s">
        <v>19</v>
      </c>
      <c r="D93" s="64">
        <f>H87</f>
        <v>4299.5</v>
      </c>
      <c r="E93" s="6">
        <v>10000</v>
      </c>
      <c r="F93" s="6"/>
      <c r="G93" s="65">
        <v>1316</v>
      </c>
      <c r="H93" s="66">
        <f>D93-G93+E93+F93</f>
        <v>12983.5</v>
      </c>
      <c r="I93" s="77">
        <f>[4]账单!$B$28</f>
        <v>1301</v>
      </c>
      <c r="J93" s="64">
        <f>G93-I93</f>
        <v>15</v>
      </c>
      <c r="K93" s="101"/>
    </row>
    <row r="94" customHeight="1" spans="1:11">
      <c r="A94" s="67">
        <v>43672</v>
      </c>
      <c r="B94" s="68" t="s">
        <v>18</v>
      </c>
      <c r="C94" s="68" t="s">
        <v>20</v>
      </c>
      <c r="D94" s="69">
        <f>H88</f>
        <v>1708</v>
      </c>
      <c r="E94" s="70">
        <v>10000</v>
      </c>
      <c r="F94" s="70">
        <v>15</v>
      </c>
      <c r="G94" s="71">
        <v>3152</v>
      </c>
      <c r="H94" s="72">
        <f>D94-G94+E94+F94</f>
        <v>8571</v>
      </c>
      <c r="I94" s="81">
        <v>3152</v>
      </c>
      <c r="J94" s="69">
        <f>G94-I94</f>
        <v>0</v>
      </c>
      <c r="K94" s="82"/>
    </row>
    <row r="95" customHeight="1" spans="1:11">
      <c r="A95" s="99" t="s">
        <v>0</v>
      </c>
      <c r="B95" s="60" t="s">
        <v>1</v>
      </c>
      <c r="C95" s="60" t="s">
        <v>2</v>
      </c>
      <c r="D95" s="59" t="s">
        <v>3</v>
      </c>
      <c r="E95" s="60" t="s">
        <v>4</v>
      </c>
      <c r="F95" s="60" t="s">
        <v>5</v>
      </c>
      <c r="G95" s="61" t="s">
        <v>6</v>
      </c>
      <c r="H95" s="62" t="s">
        <v>7</v>
      </c>
      <c r="I95" s="75" t="s">
        <v>8</v>
      </c>
      <c r="J95" s="59" t="s">
        <v>9</v>
      </c>
      <c r="K95" s="100" t="s">
        <v>10</v>
      </c>
    </row>
    <row r="96" customHeight="1" spans="1:11">
      <c r="A96" s="63">
        <v>43673</v>
      </c>
      <c r="B96" s="8" t="s">
        <v>11</v>
      </c>
      <c r="C96" s="8" t="s">
        <v>12</v>
      </c>
      <c r="D96" s="64">
        <f>H90</f>
        <v>1562</v>
      </c>
      <c r="E96" s="6"/>
      <c r="F96" s="6"/>
      <c r="G96" s="65"/>
      <c r="H96" s="66">
        <f>D96-G96+E96+F96</f>
        <v>1562</v>
      </c>
      <c r="I96" s="77">
        <f>[9]对账!$B$62</f>
        <v>0</v>
      </c>
      <c r="J96" s="64">
        <f>G96-I96</f>
        <v>0</v>
      </c>
      <c r="K96" s="80"/>
    </row>
    <row r="97" customHeight="1" spans="1:11">
      <c r="A97" s="63">
        <v>43673</v>
      </c>
      <c r="B97" s="8" t="s">
        <v>13</v>
      </c>
      <c r="C97" s="8" t="s">
        <v>14</v>
      </c>
      <c r="D97" s="64">
        <f>H91</f>
        <v>6026</v>
      </c>
      <c r="E97" s="6"/>
      <c r="F97" s="6">
        <v>39</v>
      </c>
      <c r="G97" s="65">
        <v>3040</v>
      </c>
      <c r="H97" s="66">
        <f>D97-G97+E97+F97</f>
        <v>3025</v>
      </c>
      <c r="I97" s="77">
        <f>[8]对账!$B$29</f>
        <v>2021</v>
      </c>
      <c r="J97" s="64">
        <f>G97-I97</f>
        <v>1019</v>
      </c>
      <c r="K97" s="80" t="s">
        <v>27</v>
      </c>
    </row>
    <row r="98" customHeight="1" spans="1:11">
      <c r="A98" s="63">
        <v>43673</v>
      </c>
      <c r="B98" s="8" t="s">
        <v>15</v>
      </c>
      <c r="C98" s="8" t="s">
        <v>16</v>
      </c>
      <c r="D98" s="64">
        <f>H92</f>
        <v>1338</v>
      </c>
      <c r="E98" s="6">
        <v>10000</v>
      </c>
      <c r="F98" s="6"/>
      <c r="G98" s="65">
        <v>1508</v>
      </c>
      <c r="H98" s="66">
        <f>D98-G98+E98+F98</f>
        <v>9830</v>
      </c>
      <c r="I98" s="77">
        <f>[5]好评返现对账!$B$40</f>
        <v>2479</v>
      </c>
      <c r="J98" s="64">
        <f>G98-I98</f>
        <v>-971</v>
      </c>
      <c r="K98" s="80"/>
    </row>
    <row r="99" customHeight="1" spans="1:11">
      <c r="A99" s="63">
        <v>43673</v>
      </c>
      <c r="B99" s="8" t="s">
        <v>18</v>
      </c>
      <c r="C99" s="8" t="s">
        <v>19</v>
      </c>
      <c r="D99" s="64">
        <f>H93</f>
        <v>12983.5</v>
      </c>
      <c r="E99" s="6"/>
      <c r="F99" s="6"/>
      <c r="G99" s="65">
        <v>2307</v>
      </c>
      <c r="H99" s="66">
        <f>D99-G99+E99+F99</f>
        <v>10676.5</v>
      </c>
      <c r="I99" s="77">
        <f>[4]账单!$B$29</f>
        <v>2307</v>
      </c>
      <c r="J99" s="64">
        <f>G99-I99</f>
        <v>0</v>
      </c>
      <c r="K99" s="101"/>
    </row>
    <row r="100" customHeight="1" spans="1:11">
      <c r="A100" s="84">
        <v>43673</v>
      </c>
      <c r="B100" s="85" t="s">
        <v>18</v>
      </c>
      <c r="C100" s="85" t="s">
        <v>20</v>
      </c>
      <c r="D100" s="86">
        <f>H94</f>
        <v>8571</v>
      </c>
      <c r="E100" s="87"/>
      <c r="F100" s="87"/>
      <c r="G100" s="88">
        <v>1673</v>
      </c>
      <c r="H100" s="89">
        <f>D100-G100+E100+F100</f>
        <v>6898</v>
      </c>
      <c r="I100" s="95">
        <v>1673</v>
      </c>
      <c r="J100" s="86">
        <f>G100-I100</f>
        <v>0</v>
      </c>
      <c r="K100" s="96"/>
    </row>
    <row r="101" customHeight="1" spans="1:11">
      <c r="A101" s="99" t="s">
        <v>0</v>
      </c>
      <c r="B101" s="60" t="s">
        <v>1</v>
      </c>
      <c r="C101" s="60" t="s">
        <v>2</v>
      </c>
      <c r="D101" s="59" t="s">
        <v>3</v>
      </c>
      <c r="E101" s="60" t="s">
        <v>4</v>
      </c>
      <c r="F101" s="60" t="s">
        <v>5</v>
      </c>
      <c r="G101" s="61" t="s">
        <v>6</v>
      </c>
      <c r="H101" s="62" t="s">
        <v>7</v>
      </c>
      <c r="I101" s="75" t="s">
        <v>8</v>
      </c>
      <c r="J101" s="59" t="s">
        <v>9</v>
      </c>
      <c r="K101" s="100" t="s">
        <v>10</v>
      </c>
    </row>
    <row r="102" customHeight="1" spans="1:11">
      <c r="A102" s="63">
        <v>43674</v>
      </c>
      <c r="B102" s="8" t="s">
        <v>11</v>
      </c>
      <c r="C102" s="8" t="s">
        <v>12</v>
      </c>
      <c r="D102" s="64">
        <f>H96</f>
        <v>1562</v>
      </c>
      <c r="E102" s="6"/>
      <c r="F102" s="6"/>
      <c r="G102" s="65"/>
      <c r="H102" s="66">
        <f>D102-G102+E102+F102</f>
        <v>1562</v>
      </c>
      <c r="I102" s="77">
        <f>[9]对账!$B$63</f>
        <v>0</v>
      </c>
      <c r="J102" s="64">
        <f>G102-I102</f>
        <v>0</v>
      </c>
      <c r="K102" s="80"/>
    </row>
    <row r="103" customHeight="1" spans="1:11">
      <c r="A103" s="63">
        <v>43674</v>
      </c>
      <c r="B103" s="8" t="s">
        <v>13</v>
      </c>
      <c r="C103" s="8" t="s">
        <v>14</v>
      </c>
      <c r="D103" s="64">
        <f t="shared" ref="D103:D112" si="3">H97</f>
        <v>3025</v>
      </c>
      <c r="E103" s="6"/>
      <c r="F103" s="6"/>
      <c r="G103" s="65">
        <v>1233</v>
      </c>
      <c r="H103" s="66">
        <f t="shared" ref="H103:H112" si="4">D103-G103+E103+F103</f>
        <v>1792</v>
      </c>
      <c r="I103" s="77">
        <f>[8]对账!$B$30</f>
        <v>1920</v>
      </c>
      <c r="J103" s="64">
        <f t="shared" ref="J103:J112" si="5">G103-I103</f>
        <v>-687</v>
      </c>
      <c r="K103" s="80" t="s">
        <v>28</v>
      </c>
    </row>
    <row r="104" customHeight="1" spans="1:11">
      <c r="A104" s="63">
        <v>43674</v>
      </c>
      <c r="B104" s="8" t="s">
        <v>15</v>
      </c>
      <c r="C104" s="8" t="s">
        <v>16</v>
      </c>
      <c r="D104" s="64">
        <f t="shared" si="3"/>
        <v>9830</v>
      </c>
      <c r="E104" s="6"/>
      <c r="F104" s="6"/>
      <c r="G104" s="65">
        <v>3268</v>
      </c>
      <c r="H104" s="66">
        <f t="shared" si="4"/>
        <v>6562</v>
      </c>
      <c r="I104" s="77">
        <f>[5]好评返现对账!$B$41</f>
        <v>2301</v>
      </c>
      <c r="J104" s="64">
        <f t="shared" si="5"/>
        <v>967</v>
      </c>
      <c r="K104" s="80"/>
    </row>
    <row r="105" customHeight="1" spans="1:11">
      <c r="A105" s="63">
        <v>43674</v>
      </c>
      <c r="B105" s="8" t="s">
        <v>18</v>
      </c>
      <c r="C105" s="8" t="s">
        <v>19</v>
      </c>
      <c r="D105" s="64">
        <f t="shared" si="3"/>
        <v>10676.5</v>
      </c>
      <c r="E105" s="6"/>
      <c r="F105" s="6"/>
      <c r="G105" s="65">
        <v>3383</v>
      </c>
      <c r="H105" s="66">
        <f t="shared" si="4"/>
        <v>7293.5</v>
      </c>
      <c r="I105" s="77">
        <f>[4]账单!$B$30</f>
        <v>3383</v>
      </c>
      <c r="J105" s="64">
        <f t="shared" si="5"/>
        <v>0</v>
      </c>
      <c r="K105" s="101"/>
    </row>
    <row r="106" customHeight="1" spans="1:11">
      <c r="A106" s="67">
        <v>43674</v>
      </c>
      <c r="B106" s="68" t="s">
        <v>18</v>
      </c>
      <c r="C106" s="68" t="s">
        <v>20</v>
      </c>
      <c r="D106" s="69">
        <f t="shared" si="3"/>
        <v>6898</v>
      </c>
      <c r="E106" s="70"/>
      <c r="F106" s="70"/>
      <c r="G106" s="71">
        <v>2134</v>
      </c>
      <c r="H106" s="72">
        <f t="shared" si="4"/>
        <v>4764</v>
      </c>
      <c r="I106" s="81">
        <f>[3]账单!$B$30</f>
        <v>2134</v>
      </c>
      <c r="J106" s="69">
        <f t="shared" si="5"/>
        <v>0</v>
      </c>
      <c r="K106" s="82"/>
    </row>
    <row r="107" customHeight="1" spans="1:11">
      <c r="A107" s="99" t="s">
        <v>0</v>
      </c>
      <c r="B107" s="60" t="s">
        <v>1</v>
      </c>
      <c r="C107" s="60" t="s">
        <v>2</v>
      </c>
      <c r="D107" s="59" t="s">
        <v>3</v>
      </c>
      <c r="E107" s="60" t="s">
        <v>4</v>
      </c>
      <c r="F107" s="60" t="s">
        <v>5</v>
      </c>
      <c r="G107" s="61" t="s">
        <v>6</v>
      </c>
      <c r="H107" s="62" t="s">
        <v>7</v>
      </c>
      <c r="I107" s="75" t="s">
        <v>8</v>
      </c>
      <c r="J107" s="59" t="s">
        <v>9</v>
      </c>
      <c r="K107" s="100" t="s">
        <v>10</v>
      </c>
    </row>
    <row r="108" customHeight="1" spans="1:11">
      <c r="A108" s="63">
        <v>43675</v>
      </c>
      <c r="B108" s="8" t="s">
        <v>11</v>
      </c>
      <c r="C108" s="8" t="s">
        <v>12</v>
      </c>
      <c r="D108" s="64">
        <f t="shared" si="3"/>
        <v>1562</v>
      </c>
      <c r="E108" s="6"/>
      <c r="F108" s="6"/>
      <c r="G108" s="65"/>
      <c r="H108" s="66">
        <f t="shared" si="4"/>
        <v>1562</v>
      </c>
      <c r="I108" s="77">
        <f>[9]对账!$B$64</f>
        <v>10</v>
      </c>
      <c r="J108" s="64">
        <f t="shared" si="5"/>
        <v>-10</v>
      </c>
      <c r="K108" s="80"/>
    </row>
    <row r="109" customHeight="1" spans="1:11">
      <c r="A109" s="63">
        <v>43675</v>
      </c>
      <c r="B109" s="8" t="s">
        <v>13</v>
      </c>
      <c r="C109" s="8" t="s">
        <v>14</v>
      </c>
      <c r="D109" s="64">
        <f t="shared" si="3"/>
        <v>1792</v>
      </c>
      <c r="E109" s="6"/>
      <c r="F109" s="6"/>
      <c r="G109" s="65">
        <v>1670</v>
      </c>
      <c r="H109" s="66">
        <f t="shared" si="4"/>
        <v>122</v>
      </c>
      <c r="I109" s="77">
        <f>[8]对账!$B$31</f>
        <v>2083</v>
      </c>
      <c r="J109" s="64">
        <f t="shared" si="5"/>
        <v>-413</v>
      </c>
      <c r="K109" s="80" t="s">
        <v>29</v>
      </c>
    </row>
    <row r="110" customHeight="1" spans="1:11">
      <c r="A110" s="63">
        <v>43675</v>
      </c>
      <c r="B110" s="8" t="s">
        <v>15</v>
      </c>
      <c r="C110" s="8" t="s">
        <v>16</v>
      </c>
      <c r="D110" s="64">
        <f t="shared" si="3"/>
        <v>6562</v>
      </c>
      <c r="E110" s="6"/>
      <c r="F110" s="6">
        <v>3</v>
      </c>
      <c r="G110" s="65">
        <v>2257</v>
      </c>
      <c r="H110" s="66">
        <f t="shared" si="4"/>
        <v>4308</v>
      </c>
      <c r="I110" s="77">
        <f>[7]好评返现对账!$B$42</f>
        <v>2243</v>
      </c>
      <c r="J110" s="64">
        <f t="shared" si="5"/>
        <v>14</v>
      </c>
      <c r="K110" s="80"/>
    </row>
    <row r="111" customHeight="1" spans="1:11">
      <c r="A111" s="63">
        <v>43675</v>
      </c>
      <c r="B111" s="8" t="s">
        <v>18</v>
      </c>
      <c r="C111" s="8" t="s">
        <v>19</v>
      </c>
      <c r="D111" s="64">
        <f t="shared" si="3"/>
        <v>7293.5</v>
      </c>
      <c r="E111" s="6"/>
      <c r="F111" s="6"/>
      <c r="G111" s="65">
        <v>494</v>
      </c>
      <c r="H111" s="66">
        <f t="shared" si="4"/>
        <v>6799.5</v>
      </c>
      <c r="I111" s="77">
        <f>[10]账单!$B$31</f>
        <v>489</v>
      </c>
      <c r="J111" s="64">
        <f t="shared" si="5"/>
        <v>5</v>
      </c>
      <c r="K111" s="101"/>
    </row>
    <row r="112" customHeight="1" spans="1:11">
      <c r="A112" s="67">
        <v>43675</v>
      </c>
      <c r="B112" s="68" t="s">
        <v>18</v>
      </c>
      <c r="C112" s="68" t="s">
        <v>20</v>
      </c>
      <c r="D112" s="69">
        <f t="shared" si="3"/>
        <v>4764</v>
      </c>
      <c r="E112" s="70"/>
      <c r="F112" s="70"/>
      <c r="G112" s="71">
        <v>4560</v>
      </c>
      <c r="H112" s="72">
        <f t="shared" si="4"/>
        <v>204</v>
      </c>
      <c r="I112" s="81">
        <f>[11]账单!$B$31</f>
        <v>4562</v>
      </c>
      <c r="J112" s="69">
        <f t="shared" si="5"/>
        <v>-2</v>
      </c>
      <c r="K112" s="82"/>
    </row>
    <row r="113" customHeight="1" spans="1:11">
      <c r="A113" s="99" t="s">
        <v>0</v>
      </c>
      <c r="B113" s="60" t="s">
        <v>1</v>
      </c>
      <c r="C113" s="60" t="s">
        <v>2</v>
      </c>
      <c r="D113" s="59" t="s">
        <v>3</v>
      </c>
      <c r="E113" s="60" t="s">
        <v>4</v>
      </c>
      <c r="F113" s="60" t="s">
        <v>5</v>
      </c>
      <c r="G113" s="61" t="s">
        <v>6</v>
      </c>
      <c r="H113" s="62" t="s">
        <v>7</v>
      </c>
      <c r="I113" s="75" t="s">
        <v>8</v>
      </c>
      <c r="J113" s="59" t="s">
        <v>9</v>
      </c>
      <c r="K113" s="100" t="s">
        <v>10</v>
      </c>
    </row>
    <row r="114" customHeight="1" spans="1:11">
      <c r="A114" s="63">
        <v>43676</v>
      </c>
      <c r="B114" s="8" t="s">
        <v>11</v>
      </c>
      <c r="C114" s="8" t="s">
        <v>12</v>
      </c>
      <c r="D114" s="64">
        <f t="shared" ref="D114:D118" si="6">H108</f>
        <v>1562</v>
      </c>
      <c r="E114" s="6"/>
      <c r="F114" s="6"/>
      <c r="G114" s="65"/>
      <c r="H114" s="66">
        <f t="shared" ref="H114:H118" si="7">D114-G114+E114+F114</f>
        <v>1562</v>
      </c>
      <c r="I114" s="77">
        <f>[9]对账!$B$65</f>
        <v>1</v>
      </c>
      <c r="J114" s="64">
        <f t="shared" ref="J114:J118" si="8">G114-I114</f>
        <v>-1</v>
      </c>
      <c r="K114" s="80"/>
    </row>
    <row r="115" customHeight="1" spans="1:11">
      <c r="A115" s="63">
        <v>43676</v>
      </c>
      <c r="B115" s="8" t="s">
        <v>13</v>
      </c>
      <c r="C115" s="8" t="s">
        <v>14</v>
      </c>
      <c r="D115" s="64">
        <f t="shared" si="6"/>
        <v>122</v>
      </c>
      <c r="E115" s="6">
        <v>10000</v>
      </c>
      <c r="F115" s="6"/>
      <c r="G115" s="65">
        <v>1173</v>
      </c>
      <c r="H115" s="66">
        <f t="shared" si="7"/>
        <v>8949</v>
      </c>
      <c r="I115" s="77">
        <f>[8]对账!$B$32</f>
        <v>1173</v>
      </c>
      <c r="J115" s="64">
        <f t="shared" si="8"/>
        <v>0</v>
      </c>
      <c r="K115" s="80"/>
    </row>
    <row r="116" customHeight="1" spans="1:11">
      <c r="A116" s="63">
        <v>43676</v>
      </c>
      <c r="B116" s="8" t="s">
        <v>15</v>
      </c>
      <c r="C116" s="8" t="s">
        <v>16</v>
      </c>
      <c r="D116" s="64">
        <f t="shared" si="6"/>
        <v>4308</v>
      </c>
      <c r="E116" s="6"/>
      <c r="F116" s="6"/>
      <c r="G116" s="65">
        <v>1421</v>
      </c>
      <c r="H116" s="66">
        <f t="shared" si="7"/>
        <v>2887</v>
      </c>
      <c r="I116" s="77">
        <f>[7]好评返现对账!$B$43</f>
        <v>1838</v>
      </c>
      <c r="J116" s="64">
        <f t="shared" si="8"/>
        <v>-417</v>
      </c>
      <c r="K116" s="80" t="s">
        <v>30</v>
      </c>
    </row>
    <row r="117" customHeight="1" spans="1:11">
      <c r="A117" s="63">
        <v>43676</v>
      </c>
      <c r="B117" s="8" t="s">
        <v>18</v>
      </c>
      <c r="C117" s="8" t="s">
        <v>19</v>
      </c>
      <c r="D117" s="64">
        <f t="shared" si="6"/>
        <v>6799.5</v>
      </c>
      <c r="E117" s="6"/>
      <c r="F117" s="6"/>
      <c r="G117" s="65">
        <v>4149</v>
      </c>
      <c r="H117" s="66">
        <f t="shared" si="7"/>
        <v>2650.5</v>
      </c>
      <c r="I117" s="77">
        <f>[10]账单!$B$32</f>
        <v>4149</v>
      </c>
      <c r="J117" s="64">
        <f t="shared" si="8"/>
        <v>0</v>
      </c>
      <c r="K117" s="101"/>
    </row>
    <row r="118" customHeight="1" spans="1:11">
      <c r="A118" s="67">
        <v>43676</v>
      </c>
      <c r="B118" s="68" t="s">
        <v>18</v>
      </c>
      <c r="C118" s="68" t="s">
        <v>20</v>
      </c>
      <c r="D118" s="69">
        <f t="shared" si="6"/>
        <v>204</v>
      </c>
      <c r="E118" s="70">
        <v>10000</v>
      </c>
      <c r="F118" s="70"/>
      <c r="G118" s="71">
        <v>2850</v>
      </c>
      <c r="H118" s="72">
        <f t="shared" si="7"/>
        <v>7354</v>
      </c>
      <c r="I118" s="81">
        <f>[11]账单!$B$32</f>
        <v>2850</v>
      </c>
      <c r="J118" s="69">
        <f t="shared" si="8"/>
        <v>0</v>
      </c>
      <c r="K118" s="82"/>
    </row>
    <row r="119" customHeight="1" spans="1:11">
      <c r="A119" s="99" t="s">
        <v>0</v>
      </c>
      <c r="B119" s="60" t="s">
        <v>1</v>
      </c>
      <c r="C119" s="60" t="s">
        <v>2</v>
      </c>
      <c r="D119" s="59" t="s">
        <v>3</v>
      </c>
      <c r="E119" s="60" t="s">
        <v>4</v>
      </c>
      <c r="F119" s="60" t="s">
        <v>5</v>
      </c>
      <c r="G119" s="61" t="s">
        <v>6</v>
      </c>
      <c r="H119" s="62" t="s">
        <v>7</v>
      </c>
      <c r="I119" s="75" t="s">
        <v>8</v>
      </c>
      <c r="J119" s="59" t="s">
        <v>9</v>
      </c>
      <c r="K119" s="100" t="s">
        <v>10</v>
      </c>
    </row>
    <row r="120" customHeight="1" spans="1:11">
      <c r="A120" s="63">
        <v>43677</v>
      </c>
      <c r="B120" s="8" t="s">
        <v>11</v>
      </c>
      <c r="C120" s="8" t="s">
        <v>12</v>
      </c>
      <c r="D120" s="64">
        <f t="shared" ref="D120:D124" si="9">H114</f>
        <v>1562</v>
      </c>
      <c r="E120" s="6"/>
      <c r="F120" s="6"/>
      <c r="G120" s="65"/>
      <c r="H120" s="66">
        <f t="shared" ref="H120:H124" si="10">D120-G120+E120+F120</f>
        <v>1562</v>
      </c>
      <c r="I120" s="77">
        <f>[9]对账!$B$66</f>
        <v>15</v>
      </c>
      <c r="J120" s="64">
        <f t="shared" ref="J120:J124" si="11">G120-I120</f>
        <v>-15</v>
      </c>
      <c r="K120" s="80"/>
    </row>
    <row r="121" customHeight="1" spans="1:11">
      <c r="A121" s="63">
        <v>43677</v>
      </c>
      <c r="B121" s="8" t="s">
        <v>13</v>
      </c>
      <c r="C121" s="8" t="s">
        <v>14</v>
      </c>
      <c r="D121" s="64">
        <f t="shared" si="9"/>
        <v>8949</v>
      </c>
      <c r="E121" s="6"/>
      <c r="F121" s="6"/>
      <c r="G121" s="65">
        <f>1934+39+5</f>
        <v>1978</v>
      </c>
      <c r="H121" s="66">
        <f t="shared" si="10"/>
        <v>6971</v>
      </c>
      <c r="I121" s="77">
        <f>[8]对账!$B$33</f>
        <v>1976</v>
      </c>
      <c r="J121" s="64">
        <f t="shared" si="11"/>
        <v>2</v>
      </c>
      <c r="K121" s="80"/>
    </row>
    <row r="122" customHeight="1" spans="1:11">
      <c r="A122" s="63">
        <v>43677</v>
      </c>
      <c r="B122" s="8" t="s">
        <v>15</v>
      </c>
      <c r="C122" s="8" t="s">
        <v>16</v>
      </c>
      <c r="D122" s="64">
        <f t="shared" si="9"/>
        <v>2887</v>
      </c>
      <c r="E122" s="6"/>
      <c r="F122" s="6"/>
      <c r="G122" s="65">
        <v>2261</v>
      </c>
      <c r="H122" s="66">
        <f t="shared" si="10"/>
        <v>626</v>
      </c>
      <c r="I122" s="77">
        <f>[7]好评返现对账!$B$44</f>
        <v>2324</v>
      </c>
      <c r="J122" s="64">
        <f t="shared" si="11"/>
        <v>-63</v>
      </c>
      <c r="K122" s="80" t="s">
        <v>30</v>
      </c>
    </row>
    <row r="123" customHeight="1" spans="1:11">
      <c r="A123" s="63">
        <v>43677</v>
      </c>
      <c r="B123" s="8" t="s">
        <v>18</v>
      </c>
      <c r="C123" s="8" t="s">
        <v>19</v>
      </c>
      <c r="D123" s="64">
        <f t="shared" si="9"/>
        <v>2650.5</v>
      </c>
      <c r="E123" s="6"/>
      <c r="F123" s="6"/>
      <c r="G123" s="65">
        <v>1531</v>
      </c>
      <c r="H123" s="66">
        <f t="shared" si="10"/>
        <v>1119.5</v>
      </c>
      <c r="I123" s="77">
        <f>[10]账单!$B$33</f>
        <v>1511</v>
      </c>
      <c r="J123" s="64">
        <f t="shared" si="11"/>
        <v>20</v>
      </c>
      <c r="K123" s="101"/>
    </row>
    <row r="124" customHeight="1" spans="1:11">
      <c r="A124" s="67">
        <v>43677</v>
      </c>
      <c r="B124" s="68" t="s">
        <v>18</v>
      </c>
      <c r="C124" s="68" t="s">
        <v>20</v>
      </c>
      <c r="D124" s="69">
        <f t="shared" si="9"/>
        <v>7354</v>
      </c>
      <c r="E124" s="70"/>
      <c r="F124" s="70"/>
      <c r="G124" s="71">
        <v>3562</v>
      </c>
      <c r="H124" s="72">
        <f t="shared" si="10"/>
        <v>3792</v>
      </c>
      <c r="I124" s="81">
        <f>[11]账单!$B$33</f>
        <v>3562</v>
      </c>
      <c r="J124" s="69">
        <f t="shared" si="11"/>
        <v>0</v>
      </c>
      <c r="K124" s="82"/>
    </row>
    <row r="126" customHeight="1" spans="11:11">
      <c r="K126" s="116"/>
    </row>
    <row r="127" customHeight="1" spans="11:11">
      <c r="K127" s="116"/>
    </row>
    <row r="128" customHeight="1" spans="11:11">
      <c r="K128" s="116"/>
    </row>
  </sheetData>
  <autoFilter ref="A1:Y124">
    <extLst/>
  </autoFilter>
  <pageMargins left="0.75" right="0.75" top="1" bottom="1" header="0.5" footer="0.5"/>
  <pageSetup paperSize="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0"/>
  <sheetViews>
    <sheetView workbookViewId="0">
      <selection activeCell="F3" sqref="F3"/>
    </sheetView>
  </sheetViews>
  <sheetFormatPr defaultColWidth="9" defaultRowHeight="20" customHeight="1"/>
  <cols>
    <col min="4" max="4" width="13.25" customWidth="1"/>
    <col min="7" max="7" width="12.25" customWidth="1"/>
    <col min="8" max="8" width="11.875" customWidth="1"/>
    <col min="9" max="9" width="11" customWidth="1"/>
    <col min="10" max="10" width="9.75" customWidth="1"/>
    <col min="11" max="11" width="34" customWidth="1"/>
  </cols>
  <sheetData>
    <row r="1" customHeight="1" spans="1:11">
      <c r="A1" s="99" t="s">
        <v>0</v>
      </c>
      <c r="B1" s="60" t="s">
        <v>1</v>
      </c>
      <c r="C1" s="60" t="s">
        <v>2</v>
      </c>
      <c r="D1" s="59" t="s">
        <v>3</v>
      </c>
      <c r="E1" s="60" t="s">
        <v>4</v>
      </c>
      <c r="F1" s="60" t="s">
        <v>5</v>
      </c>
      <c r="G1" s="61" t="s">
        <v>6</v>
      </c>
      <c r="H1" s="62" t="s">
        <v>7</v>
      </c>
      <c r="I1" s="75" t="s">
        <v>8</v>
      </c>
      <c r="J1" s="59" t="s">
        <v>9</v>
      </c>
      <c r="K1" s="100" t="s">
        <v>10</v>
      </c>
    </row>
    <row r="2" customHeight="1" spans="1:11">
      <c r="A2" s="63">
        <v>43678</v>
      </c>
      <c r="B2" s="8" t="s">
        <v>11</v>
      </c>
      <c r="C2" s="8" t="s">
        <v>12</v>
      </c>
      <c r="D2" s="64">
        <v>1000</v>
      </c>
      <c r="E2" s="6"/>
      <c r="F2" s="6"/>
      <c r="G2" s="65">
        <v>182</v>
      </c>
      <c r="H2" s="66">
        <f>D2-G2+E2+F2</f>
        <v>818</v>
      </c>
      <c r="I2" s="77">
        <v>182</v>
      </c>
      <c r="J2" s="64">
        <f t="shared" ref="J2:J6" si="0">G2-I2</f>
        <v>0</v>
      </c>
      <c r="K2" s="80"/>
    </row>
    <row r="3" customHeight="1" spans="1:11">
      <c r="A3" s="63">
        <v>43678</v>
      </c>
      <c r="B3" s="8" t="s">
        <v>31</v>
      </c>
      <c r="C3" s="8" t="s">
        <v>14</v>
      </c>
      <c r="D3" s="64">
        <f>'7月'!H121</f>
        <v>6971</v>
      </c>
      <c r="E3" s="6"/>
      <c r="F3" s="6"/>
      <c r="G3" s="65">
        <v>1782</v>
      </c>
      <c r="H3" s="66">
        <f t="shared" ref="H2:H6" si="1">D3-G3+E3+F3</f>
        <v>5189</v>
      </c>
      <c r="I3" s="77">
        <f>[12]对账!$B$37</f>
        <v>1821</v>
      </c>
      <c r="J3" s="64">
        <f t="shared" si="0"/>
        <v>-39</v>
      </c>
      <c r="K3" s="80"/>
    </row>
    <row r="4" customHeight="1" spans="1:11">
      <c r="A4" s="63">
        <v>43678</v>
      </c>
      <c r="B4" s="8" t="s">
        <v>15</v>
      </c>
      <c r="C4" s="8" t="s">
        <v>16</v>
      </c>
      <c r="D4" s="64">
        <f>'7月'!H122</f>
        <v>626</v>
      </c>
      <c r="E4" s="6">
        <v>10000</v>
      </c>
      <c r="F4" s="6"/>
      <c r="G4" s="65">
        <v>2382</v>
      </c>
      <c r="H4" s="66">
        <f t="shared" si="1"/>
        <v>8244</v>
      </c>
      <c r="I4" s="77">
        <f>[13]好评返现对账!$B$45</f>
        <v>2269</v>
      </c>
      <c r="J4" s="64">
        <f t="shared" si="0"/>
        <v>113</v>
      </c>
      <c r="K4" s="80"/>
    </row>
    <row r="5" customHeight="1" spans="1:11">
      <c r="A5" s="63">
        <v>43678</v>
      </c>
      <c r="B5" s="8" t="s">
        <v>18</v>
      </c>
      <c r="C5" s="8" t="s">
        <v>19</v>
      </c>
      <c r="D5" s="64">
        <f>'7月'!H123</f>
        <v>1119.5</v>
      </c>
      <c r="E5" s="6">
        <v>10000</v>
      </c>
      <c r="F5" s="6"/>
      <c r="G5" s="65">
        <v>2198</v>
      </c>
      <c r="H5" s="66">
        <f t="shared" si="1"/>
        <v>8921.5</v>
      </c>
      <c r="I5" s="77">
        <f>[18]账单!$B$3</f>
        <v>2198</v>
      </c>
      <c r="J5" s="64">
        <f t="shared" si="0"/>
        <v>0</v>
      </c>
      <c r="K5" s="101"/>
    </row>
    <row r="6" customHeight="1" spans="1:11">
      <c r="A6" s="67">
        <v>43678</v>
      </c>
      <c r="B6" s="68" t="s">
        <v>18</v>
      </c>
      <c r="C6" s="68" t="s">
        <v>20</v>
      </c>
      <c r="D6" s="69">
        <v>3807</v>
      </c>
      <c r="E6" s="70">
        <v>10000</v>
      </c>
      <c r="F6" s="70"/>
      <c r="G6" s="71">
        <v>2455</v>
      </c>
      <c r="H6" s="72">
        <f t="shared" si="1"/>
        <v>11352</v>
      </c>
      <c r="I6" s="81">
        <f>[17]账单!$B$3</f>
        <v>2455</v>
      </c>
      <c r="J6" s="69">
        <f t="shared" si="0"/>
        <v>0</v>
      </c>
      <c r="K6" s="82"/>
    </row>
    <row r="7" customHeight="1" spans="1:11">
      <c r="A7" s="99" t="s">
        <v>0</v>
      </c>
      <c r="B7" s="60" t="s">
        <v>1</v>
      </c>
      <c r="C7" s="60" t="s">
        <v>2</v>
      </c>
      <c r="D7" s="59" t="s">
        <v>3</v>
      </c>
      <c r="E7" s="60" t="s">
        <v>4</v>
      </c>
      <c r="F7" s="60" t="s">
        <v>5</v>
      </c>
      <c r="G7" s="61" t="s">
        <v>6</v>
      </c>
      <c r="H7" s="62" t="s">
        <v>7</v>
      </c>
      <c r="I7" s="75" t="s">
        <v>8</v>
      </c>
      <c r="J7" s="59" t="s">
        <v>9</v>
      </c>
      <c r="K7" s="100" t="s">
        <v>10</v>
      </c>
    </row>
    <row r="8" customHeight="1" spans="1:11">
      <c r="A8" s="63">
        <v>43679</v>
      </c>
      <c r="B8" s="8" t="s">
        <v>11</v>
      </c>
      <c r="C8" s="8" t="s">
        <v>12</v>
      </c>
      <c r="D8" s="64">
        <f>H2</f>
        <v>818</v>
      </c>
      <c r="E8" s="6"/>
      <c r="F8" s="6"/>
      <c r="G8" s="65">
        <v>64</v>
      </c>
      <c r="H8" s="66">
        <f t="shared" ref="H8:H12" si="2">D8-G8+E8+F8</f>
        <v>754</v>
      </c>
      <c r="I8" s="77">
        <v>64</v>
      </c>
      <c r="J8" s="64">
        <f t="shared" ref="J8:J12" si="3">G8-I8</f>
        <v>0</v>
      </c>
      <c r="K8" s="80"/>
    </row>
    <row r="9" customHeight="1" spans="1:11">
      <c r="A9" s="63">
        <v>43679</v>
      </c>
      <c r="B9" s="8" t="s">
        <v>31</v>
      </c>
      <c r="C9" s="8" t="s">
        <v>14</v>
      </c>
      <c r="D9" s="64">
        <f t="shared" ref="D9:D18" si="4">H3</f>
        <v>5189</v>
      </c>
      <c r="E9" s="6"/>
      <c r="F9" s="6"/>
      <c r="G9" s="65">
        <v>1807</v>
      </c>
      <c r="H9" s="66">
        <f t="shared" si="2"/>
        <v>3382</v>
      </c>
      <c r="I9" s="77">
        <f>[12]对账!$B$38</f>
        <v>1885</v>
      </c>
      <c r="J9" s="64">
        <f t="shared" si="3"/>
        <v>-78</v>
      </c>
      <c r="K9" s="80"/>
    </row>
    <row r="10" customHeight="1" spans="1:11">
      <c r="A10" s="63">
        <v>43679</v>
      </c>
      <c r="B10" s="8" t="s">
        <v>15</v>
      </c>
      <c r="C10" s="8" t="s">
        <v>16</v>
      </c>
      <c r="D10" s="64">
        <f t="shared" si="4"/>
        <v>8244</v>
      </c>
      <c r="E10" s="6"/>
      <c r="F10" s="6"/>
      <c r="G10" s="65">
        <v>2147</v>
      </c>
      <c r="H10" s="66">
        <f t="shared" si="2"/>
        <v>6097</v>
      </c>
      <c r="I10" s="77">
        <f>[13]好评返现对账!$B$46</f>
        <v>2143</v>
      </c>
      <c r="J10" s="64">
        <f t="shared" si="3"/>
        <v>4</v>
      </c>
      <c r="K10" s="80"/>
    </row>
    <row r="11" customHeight="1" spans="1:11">
      <c r="A11" s="63">
        <v>43679</v>
      </c>
      <c r="B11" s="8" t="s">
        <v>18</v>
      </c>
      <c r="C11" s="8" t="s">
        <v>19</v>
      </c>
      <c r="D11" s="64">
        <f t="shared" si="4"/>
        <v>8921.5</v>
      </c>
      <c r="E11" s="6"/>
      <c r="F11" s="6"/>
      <c r="G11" s="65">
        <v>1240</v>
      </c>
      <c r="H11" s="66">
        <f t="shared" si="2"/>
        <v>7681.5</v>
      </c>
      <c r="I11" s="77">
        <f>[18]账单!$B$4</f>
        <v>1240</v>
      </c>
      <c r="J11" s="64">
        <f t="shared" si="3"/>
        <v>0</v>
      </c>
      <c r="K11" s="101"/>
    </row>
    <row r="12" customHeight="1" spans="1:11">
      <c r="A12" s="67">
        <v>43679</v>
      </c>
      <c r="B12" s="68" t="s">
        <v>18</v>
      </c>
      <c r="C12" s="68" t="s">
        <v>20</v>
      </c>
      <c r="D12" s="69">
        <f t="shared" si="4"/>
        <v>11352</v>
      </c>
      <c r="E12" s="70"/>
      <c r="F12" s="70"/>
      <c r="G12" s="71">
        <v>3630</v>
      </c>
      <c r="H12" s="72">
        <f t="shared" si="2"/>
        <v>7722</v>
      </c>
      <c r="I12" s="81">
        <f>[17]账单!$B$4</f>
        <v>3630</v>
      </c>
      <c r="J12" s="69">
        <f t="shared" si="3"/>
        <v>0</v>
      </c>
      <c r="K12" s="82"/>
    </row>
    <row r="13" customHeight="1" spans="1:11">
      <c r="A13" s="99" t="s">
        <v>0</v>
      </c>
      <c r="B13" s="60" t="s">
        <v>1</v>
      </c>
      <c r="C13" s="60" t="s">
        <v>2</v>
      </c>
      <c r="D13" s="59" t="s">
        <v>3</v>
      </c>
      <c r="E13" s="60" t="s">
        <v>4</v>
      </c>
      <c r="F13" s="60" t="s">
        <v>5</v>
      </c>
      <c r="G13" s="61" t="s">
        <v>6</v>
      </c>
      <c r="H13" s="62" t="s">
        <v>7</v>
      </c>
      <c r="I13" s="75" t="s">
        <v>8</v>
      </c>
      <c r="J13" s="59" t="s">
        <v>9</v>
      </c>
      <c r="K13" s="100" t="s">
        <v>10</v>
      </c>
    </row>
    <row r="14" customHeight="1" spans="1:11">
      <c r="A14" s="63">
        <v>43680</v>
      </c>
      <c r="B14" s="8" t="s">
        <v>11</v>
      </c>
      <c r="C14" s="8" t="s">
        <v>12</v>
      </c>
      <c r="D14" s="64">
        <f t="shared" si="4"/>
        <v>754</v>
      </c>
      <c r="E14" s="6"/>
      <c r="F14" s="6"/>
      <c r="G14" s="65">
        <v>178</v>
      </c>
      <c r="H14" s="66">
        <f t="shared" ref="H14:H18" si="5">D14-G14+E14+F14</f>
        <v>576</v>
      </c>
      <c r="I14" s="77">
        <v>174</v>
      </c>
      <c r="J14" s="64">
        <f t="shared" ref="J14:J18" si="6">G14-I14</f>
        <v>4</v>
      </c>
      <c r="K14" s="80"/>
    </row>
    <row r="15" customHeight="1" spans="1:11">
      <c r="A15" s="63">
        <v>43680</v>
      </c>
      <c r="B15" s="8" t="s">
        <v>31</v>
      </c>
      <c r="C15" s="8" t="s">
        <v>14</v>
      </c>
      <c r="D15" s="64">
        <f t="shared" si="4"/>
        <v>3382</v>
      </c>
      <c r="E15" s="6"/>
      <c r="F15" s="6">
        <v>7</v>
      </c>
      <c r="G15" s="65">
        <v>1700</v>
      </c>
      <c r="H15" s="66">
        <f t="shared" si="5"/>
        <v>1689</v>
      </c>
      <c r="I15" s="77">
        <f>[12]对账!$B$39</f>
        <v>1709</v>
      </c>
      <c r="J15" s="64">
        <f t="shared" si="6"/>
        <v>-9</v>
      </c>
      <c r="K15" s="80"/>
    </row>
    <row r="16" customHeight="1" spans="1:11">
      <c r="A16" s="63">
        <v>43680</v>
      </c>
      <c r="B16" s="8" t="s">
        <v>15</v>
      </c>
      <c r="C16" s="8" t="s">
        <v>16</v>
      </c>
      <c r="D16" s="64">
        <f t="shared" si="4"/>
        <v>6097</v>
      </c>
      <c r="E16" s="6"/>
      <c r="F16" s="6"/>
      <c r="G16" s="65">
        <v>2263</v>
      </c>
      <c r="H16" s="66">
        <f t="shared" si="5"/>
        <v>3834</v>
      </c>
      <c r="I16" s="77">
        <f>[13]好评返现对账!$B$47</f>
        <v>2268</v>
      </c>
      <c r="J16" s="64">
        <f t="shared" si="6"/>
        <v>-5</v>
      </c>
      <c r="K16" s="80"/>
    </row>
    <row r="17" customHeight="1" spans="1:11">
      <c r="A17" s="63">
        <v>43680</v>
      </c>
      <c r="B17" s="8" t="s">
        <v>18</v>
      </c>
      <c r="C17" s="8" t="s">
        <v>19</v>
      </c>
      <c r="D17" s="64">
        <f t="shared" si="4"/>
        <v>7681.5</v>
      </c>
      <c r="E17" s="6"/>
      <c r="F17" s="6"/>
      <c r="G17" s="65">
        <v>499</v>
      </c>
      <c r="H17" s="66">
        <f t="shared" si="5"/>
        <v>7182.5</v>
      </c>
      <c r="I17" s="77">
        <f>[18]账单!$B$5</f>
        <v>499</v>
      </c>
      <c r="J17" s="64">
        <f t="shared" si="6"/>
        <v>0</v>
      </c>
      <c r="K17" s="101"/>
    </row>
    <row r="18" customHeight="1" spans="1:11">
      <c r="A18" s="67">
        <v>43680</v>
      </c>
      <c r="B18" s="68" t="s">
        <v>18</v>
      </c>
      <c r="C18" s="68" t="s">
        <v>20</v>
      </c>
      <c r="D18" s="69">
        <f t="shared" si="4"/>
        <v>7722</v>
      </c>
      <c r="E18" s="70"/>
      <c r="F18" s="70"/>
      <c r="G18" s="71">
        <v>4278</v>
      </c>
      <c r="H18" s="72">
        <f t="shared" si="5"/>
        <v>3444</v>
      </c>
      <c r="I18" s="81">
        <f>[17]账单!$B$5</f>
        <v>4278</v>
      </c>
      <c r="J18" s="69">
        <f t="shared" si="6"/>
        <v>0</v>
      </c>
      <c r="K18" s="82"/>
    </row>
    <row r="19" customHeight="1" spans="1:11">
      <c r="A19" s="99" t="s">
        <v>0</v>
      </c>
      <c r="B19" s="60" t="s">
        <v>1</v>
      </c>
      <c r="C19" s="60" t="s">
        <v>2</v>
      </c>
      <c r="D19" s="59" t="s">
        <v>3</v>
      </c>
      <c r="E19" s="60" t="s">
        <v>4</v>
      </c>
      <c r="F19" s="60" t="s">
        <v>5</v>
      </c>
      <c r="G19" s="61" t="s">
        <v>6</v>
      </c>
      <c r="H19" s="62" t="s">
        <v>7</v>
      </c>
      <c r="I19" s="75" t="s">
        <v>8</v>
      </c>
      <c r="J19" s="59" t="s">
        <v>9</v>
      </c>
      <c r="K19" s="100" t="s">
        <v>10</v>
      </c>
    </row>
    <row r="20" customHeight="1" spans="1:11">
      <c r="A20" s="63">
        <v>43681</v>
      </c>
      <c r="B20" s="8" t="s">
        <v>11</v>
      </c>
      <c r="C20" s="8" t="s">
        <v>12</v>
      </c>
      <c r="D20" s="64">
        <f t="shared" ref="D20:D24" si="7">H14</f>
        <v>576</v>
      </c>
      <c r="E20" s="6"/>
      <c r="F20" s="6"/>
      <c r="G20" s="65">
        <v>187</v>
      </c>
      <c r="H20" s="66">
        <f t="shared" ref="H20:H24" si="8">D20-G20+E20+F20</f>
        <v>389</v>
      </c>
      <c r="I20" s="77">
        <f>[16]对账!$B$70</f>
        <v>187</v>
      </c>
      <c r="J20" s="64">
        <f t="shared" ref="J20:J24" si="9">G20-I20</f>
        <v>0</v>
      </c>
      <c r="K20" s="80"/>
    </row>
    <row r="21" customHeight="1" spans="1:11">
      <c r="A21" s="63">
        <v>43681</v>
      </c>
      <c r="B21" s="8" t="s">
        <v>31</v>
      </c>
      <c r="C21" s="8" t="s">
        <v>14</v>
      </c>
      <c r="D21" s="64">
        <f t="shared" si="7"/>
        <v>1689</v>
      </c>
      <c r="E21" s="6"/>
      <c r="F21" s="6"/>
      <c r="G21" s="65">
        <v>1565</v>
      </c>
      <c r="H21" s="66">
        <f t="shared" si="8"/>
        <v>124</v>
      </c>
      <c r="I21" s="77">
        <f>[15]对账!$B$40</f>
        <v>1638</v>
      </c>
      <c r="J21" s="64">
        <f t="shared" si="9"/>
        <v>-73</v>
      </c>
      <c r="K21" s="80" t="s">
        <v>32</v>
      </c>
    </row>
    <row r="22" customHeight="1" spans="1:11">
      <c r="A22" s="63">
        <v>43681</v>
      </c>
      <c r="B22" s="8" t="s">
        <v>15</v>
      </c>
      <c r="C22" s="8" t="s">
        <v>16</v>
      </c>
      <c r="D22" s="64">
        <f t="shared" si="7"/>
        <v>3834</v>
      </c>
      <c r="E22" s="6"/>
      <c r="F22" s="6"/>
      <c r="G22" s="65">
        <v>2258</v>
      </c>
      <c r="H22" s="66">
        <f t="shared" si="8"/>
        <v>1576</v>
      </c>
      <c r="I22" s="77">
        <f>[14]好评返现对账!$B$48</f>
        <v>2217</v>
      </c>
      <c r="J22" s="64">
        <f t="shared" si="9"/>
        <v>41</v>
      </c>
      <c r="K22" s="80"/>
    </row>
    <row r="23" customHeight="1" spans="1:11">
      <c r="A23" s="63">
        <v>43681</v>
      </c>
      <c r="B23" s="8" t="s">
        <v>18</v>
      </c>
      <c r="C23" s="8" t="s">
        <v>19</v>
      </c>
      <c r="D23" s="64">
        <f t="shared" si="7"/>
        <v>7182.5</v>
      </c>
      <c r="E23" s="6"/>
      <c r="F23" s="6"/>
      <c r="G23" s="65">
        <v>518</v>
      </c>
      <c r="H23" s="66">
        <f t="shared" si="8"/>
        <v>6664.5</v>
      </c>
      <c r="I23" s="77">
        <f>[18]账单!$B$6</f>
        <v>528</v>
      </c>
      <c r="J23" s="64">
        <f t="shared" si="9"/>
        <v>-10</v>
      </c>
      <c r="K23" s="101" t="s">
        <v>17</v>
      </c>
    </row>
    <row r="24" customHeight="1" spans="1:11">
      <c r="A24" s="67">
        <v>43681</v>
      </c>
      <c r="B24" s="68" t="s">
        <v>18</v>
      </c>
      <c r="C24" s="68" t="s">
        <v>20</v>
      </c>
      <c r="D24" s="69">
        <f t="shared" si="7"/>
        <v>3444</v>
      </c>
      <c r="E24" s="70">
        <v>10000</v>
      </c>
      <c r="F24" s="70">
        <v>59</v>
      </c>
      <c r="G24" s="71">
        <v>4770</v>
      </c>
      <c r="H24" s="72">
        <f t="shared" si="8"/>
        <v>8733</v>
      </c>
      <c r="I24" s="81">
        <f>[17]账单!$B$6</f>
        <v>4770</v>
      </c>
      <c r="J24" s="69">
        <f t="shared" si="9"/>
        <v>0</v>
      </c>
      <c r="K24" s="82"/>
    </row>
    <row r="25" customHeight="1" spans="1:11">
      <c r="A25" s="99" t="s">
        <v>0</v>
      </c>
      <c r="B25" s="60" t="s">
        <v>1</v>
      </c>
      <c r="C25" s="60" t="s">
        <v>2</v>
      </c>
      <c r="D25" s="59" t="s">
        <v>3</v>
      </c>
      <c r="E25" s="60" t="s">
        <v>4</v>
      </c>
      <c r="F25" s="60" t="s">
        <v>5</v>
      </c>
      <c r="G25" s="61" t="s">
        <v>6</v>
      </c>
      <c r="H25" s="62" t="s">
        <v>7</v>
      </c>
      <c r="I25" s="75" t="s">
        <v>8</v>
      </c>
      <c r="J25" s="59" t="s">
        <v>9</v>
      </c>
      <c r="K25" s="100" t="s">
        <v>10</v>
      </c>
    </row>
    <row r="26" customHeight="1" spans="1:11">
      <c r="A26" s="63">
        <v>43682</v>
      </c>
      <c r="B26" s="8" t="s">
        <v>11</v>
      </c>
      <c r="C26" s="8" t="s">
        <v>12</v>
      </c>
      <c r="D26" s="64">
        <f t="shared" ref="D26:D30" si="10">H20</f>
        <v>389</v>
      </c>
      <c r="E26" s="6"/>
      <c r="F26" s="6"/>
      <c r="G26" s="65">
        <v>59</v>
      </c>
      <c r="H26" s="66">
        <f t="shared" ref="H26:H30" si="11">D26-G26+E26+F26</f>
        <v>330</v>
      </c>
      <c r="I26" s="77">
        <f>[16]对账!$B$71</f>
        <v>64</v>
      </c>
      <c r="J26" s="64">
        <f t="shared" ref="J26:J30" si="12">G26-I26</f>
        <v>-5</v>
      </c>
      <c r="K26" s="80"/>
    </row>
    <row r="27" customHeight="1" spans="1:11">
      <c r="A27" s="63">
        <v>43682</v>
      </c>
      <c r="B27" s="8" t="s">
        <v>31</v>
      </c>
      <c r="C27" s="8" t="s">
        <v>14</v>
      </c>
      <c r="D27" s="64">
        <f t="shared" si="10"/>
        <v>124</v>
      </c>
      <c r="E27" s="6">
        <v>10000</v>
      </c>
      <c r="F27" s="6"/>
      <c r="G27" s="65">
        <v>2719</v>
      </c>
      <c r="H27" s="66">
        <f t="shared" si="11"/>
        <v>7405</v>
      </c>
      <c r="I27" s="77">
        <f>[15]对账!$B$41</f>
        <v>1807</v>
      </c>
      <c r="J27" s="64">
        <f t="shared" si="12"/>
        <v>912</v>
      </c>
      <c r="K27" s="80" t="s">
        <v>27</v>
      </c>
    </row>
    <row r="28" customHeight="1" spans="1:11">
      <c r="A28" s="63">
        <v>43682</v>
      </c>
      <c r="B28" s="8" t="s">
        <v>15</v>
      </c>
      <c r="C28" s="8" t="s">
        <v>16</v>
      </c>
      <c r="D28" s="64">
        <f t="shared" si="10"/>
        <v>1576</v>
      </c>
      <c r="E28" s="6">
        <v>10000</v>
      </c>
      <c r="F28" s="6"/>
      <c r="G28" s="65">
        <v>1575</v>
      </c>
      <c r="H28" s="66">
        <f t="shared" si="11"/>
        <v>10001</v>
      </c>
      <c r="I28" s="77">
        <f>[14]好评返现对账!$B$49</f>
        <v>2303</v>
      </c>
      <c r="J28" s="64">
        <f t="shared" si="12"/>
        <v>-728</v>
      </c>
      <c r="K28" s="80" t="s">
        <v>33</v>
      </c>
    </row>
    <row r="29" customHeight="1" spans="1:11">
      <c r="A29" s="63">
        <v>43682</v>
      </c>
      <c r="B29" s="8" t="s">
        <v>18</v>
      </c>
      <c r="C29" s="8" t="s">
        <v>19</v>
      </c>
      <c r="D29" s="64">
        <f t="shared" si="10"/>
        <v>6664.5</v>
      </c>
      <c r="E29" s="6"/>
      <c r="F29" s="6"/>
      <c r="G29" s="65">
        <v>2695</v>
      </c>
      <c r="H29" s="66">
        <f t="shared" si="11"/>
        <v>3969.5</v>
      </c>
      <c r="I29" s="77">
        <f>[18]账单!$B$7</f>
        <v>2685</v>
      </c>
      <c r="J29" s="64">
        <f t="shared" si="12"/>
        <v>10</v>
      </c>
      <c r="K29" s="101" t="s">
        <v>17</v>
      </c>
    </row>
    <row r="30" customHeight="1" spans="1:11">
      <c r="A30" s="67">
        <v>43682</v>
      </c>
      <c r="B30" s="68" t="s">
        <v>18</v>
      </c>
      <c r="C30" s="68" t="s">
        <v>20</v>
      </c>
      <c r="D30" s="69">
        <f t="shared" si="10"/>
        <v>8733</v>
      </c>
      <c r="E30" s="70"/>
      <c r="F30" s="70">
        <v>5</v>
      </c>
      <c r="G30" s="71">
        <v>2187</v>
      </c>
      <c r="H30" s="72">
        <f t="shared" si="11"/>
        <v>6551</v>
      </c>
      <c r="I30" s="81">
        <f>[17]账单!$B$7</f>
        <v>2187</v>
      </c>
      <c r="J30" s="69">
        <f t="shared" si="12"/>
        <v>0</v>
      </c>
      <c r="K30" s="82"/>
    </row>
    <row r="31" customHeight="1" spans="1:11">
      <c r="A31" s="99" t="s">
        <v>0</v>
      </c>
      <c r="B31" s="60" t="s">
        <v>1</v>
      </c>
      <c r="C31" s="60" t="s">
        <v>2</v>
      </c>
      <c r="D31" s="59" t="s">
        <v>3</v>
      </c>
      <c r="E31" s="60" t="s">
        <v>4</v>
      </c>
      <c r="F31" s="60" t="s">
        <v>5</v>
      </c>
      <c r="G31" s="61" t="s">
        <v>6</v>
      </c>
      <c r="H31" s="62" t="s">
        <v>7</v>
      </c>
      <c r="I31" s="75" t="s">
        <v>8</v>
      </c>
      <c r="J31" s="59" t="s">
        <v>9</v>
      </c>
      <c r="K31" s="100" t="s">
        <v>10</v>
      </c>
    </row>
    <row r="32" customHeight="1" spans="1:11">
      <c r="A32" s="63">
        <v>43683</v>
      </c>
      <c r="B32" s="8" t="s">
        <v>11</v>
      </c>
      <c r="C32" s="8" t="s">
        <v>12</v>
      </c>
      <c r="D32" s="64">
        <f t="shared" ref="D32:D36" si="13">H26</f>
        <v>330</v>
      </c>
      <c r="E32" s="6"/>
      <c r="F32" s="6"/>
      <c r="G32" s="65">
        <v>103</v>
      </c>
      <c r="H32" s="66">
        <f t="shared" ref="H32:H36" si="14">D32-G32+E32+F32</f>
        <v>227</v>
      </c>
      <c r="I32" s="77">
        <f>[23]对账!$B$72</f>
        <v>5</v>
      </c>
      <c r="J32" s="64">
        <f t="shared" ref="J32:J36" si="15">G32-I32</f>
        <v>98</v>
      </c>
      <c r="K32" s="80"/>
    </row>
    <row r="33" customHeight="1" spans="1:11">
      <c r="A33" s="63">
        <v>43683</v>
      </c>
      <c r="B33" s="8" t="s">
        <v>31</v>
      </c>
      <c r="C33" s="8" t="s">
        <v>14</v>
      </c>
      <c r="D33" s="64">
        <f t="shared" si="13"/>
        <v>7405</v>
      </c>
      <c r="E33" s="6"/>
      <c r="F33" s="6">
        <v>57</v>
      </c>
      <c r="G33" s="65">
        <f>1740</f>
        <v>1740</v>
      </c>
      <c r="H33" s="66">
        <f t="shared" si="14"/>
        <v>5722</v>
      </c>
      <c r="I33" s="77">
        <f>[19]对账!$B$42</f>
        <v>1889</v>
      </c>
      <c r="J33" s="64">
        <f t="shared" si="15"/>
        <v>-149</v>
      </c>
      <c r="K33" s="80"/>
    </row>
    <row r="34" customHeight="1" spans="1:11">
      <c r="A34" s="63">
        <v>43683</v>
      </c>
      <c r="B34" s="8" t="s">
        <v>15</v>
      </c>
      <c r="C34" s="8" t="s">
        <v>16</v>
      </c>
      <c r="D34" s="64">
        <f t="shared" si="13"/>
        <v>10001</v>
      </c>
      <c r="E34" s="6"/>
      <c r="F34" s="6"/>
      <c r="G34" s="65">
        <v>2430</v>
      </c>
      <c r="H34" s="66">
        <f t="shared" si="14"/>
        <v>7571</v>
      </c>
      <c r="I34" s="77">
        <f>[20]好评返现对账!$B$50</f>
        <v>1705</v>
      </c>
      <c r="J34" s="64">
        <f t="shared" si="15"/>
        <v>725</v>
      </c>
      <c r="K34" s="80" t="s">
        <v>34</v>
      </c>
    </row>
    <row r="35" customHeight="1" spans="1:11">
      <c r="A35" s="63">
        <v>43683</v>
      </c>
      <c r="B35" s="8" t="s">
        <v>18</v>
      </c>
      <c r="C35" s="8" t="s">
        <v>19</v>
      </c>
      <c r="D35" s="64">
        <f t="shared" si="13"/>
        <v>3969.5</v>
      </c>
      <c r="E35" s="6">
        <v>10000</v>
      </c>
      <c r="F35" s="6"/>
      <c r="G35" s="65">
        <v>3124</v>
      </c>
      <c r="H35" s="66">
        <f t="shared" si="14"/>
        <v>10845.5</v>
      </c>
      <c r="I35" s="77">
        <f>[22]账单!$E$8</f>
        <v>3114</v>
      </c>
      <c r="J35" s="64">
        <f t="shared" si="15"/>
        <v>10</v>
      </c>
      <c r="K35" s="101"/>
    </row>
    <row r="36" customHeight="1" spans="1:11">
      <c r="A36" s="67">
        <v>43683</v>
      </c>
      <c r="B36" s="68" t="s">
        <v>18</v>
      </c>
      <c r="C36" s="68" t="s">
        <v>20</v>
      </c>
      <c r="D36" s="69">
        <f t="shared" si="13"/>
        <v>6551</v>
      </c>
      <c r="E36" s="70">
        <v>10000</v>
      </c>
      <c r="F36" s="70"/>
      <c r="G36" s="71">
        <v>1553</v>
      </c>
      <c r="H36" s="72">
        <f t="shared" si="14"/>
        <v>14998</v>
      </c>
      <c r="I36" s="81">
        <f>[21]账单!$E$8</f>
        <v>1553</v>
      </c>
      <c r="J36" s="69">
        <f t="shared" si="15"/>
        <v>0</v>
      </c>
      <c r="K36" s="82"/>
    </row>
    <row r="37" customHeight="1" spans="1:11">
      <c r="A37" s="99" t="s">
        <v>0</v>
      </c>
      <c r="B37" s="60" t="s">
        <v>1</v>
      </c>
      <c r="C37" s="60" t="s">
        <v>2</v>
      </c>
      <c r="D37" s="59" t="s">
        <v>3</v>
      </c>
      <c r="E37" s="60" t="s">
        <v>4</v>
      </c>
      <c r="F37" s="60" t="s">
        <v>5</v>
      </c>
      <c r="G37" s="61" t="s">
        <v>6</v>
      </c>
      <c r="H37" s="62" t="s">
        <v>7</v>
      </c>
      <c r="I37" s="75" t="s">
        <v>8</v>
      </c>
      <c r="J37" s="59" t="s">
        <v>9</v>
      </c>
      <c r="K37" s="100" t="s">
        <v>10</v>
      </c>
    </row>
    <row r="38" customHeight="1" spans="1:11">
      <c r="A38" s="63">
        <v>43684</v>
      </c>
      <c r="B38" s="8" t="s">
        <v>11</v>
      </c>
      <c r="C38" s="8" t="s">
        <v>12</v>
      </c>
      <c r="D38" s="64">
        <f t="shared" ref="D38:D42" si="16">H32</f>
        <v>227</v>
      </c>
      <c r="E38" s="6"/>
      <c r="F38" s="6"/>
      <c r="G38" s="65">
        <v>154</v>
      </c>
      <c r="H38" s="66">
        <f t="shared" ref="H38:H42" si="17">D38-G38+E38+F38</f>
        <v>73</v>
      </c>
      <c r="I38" s="77">
        <f>[23]对账!$B$73</f>
        <v>84</v>
      </c>
      <c r="J38" s="64">
        <f t="shared" ref="J38:J42" si="18">G38-I38</f>
        <v>70</v>
      </c>
      <c r="K38" s="80"/>
    </row>
    <row r="39" customHeight="1" spans="1:11">
      <c r="A39" s="63">
        <v>43684</v>
      </c>
      <c r="B39" s="8" t="s">
        <v>31</v>
      </c>
      <c r="C39" s="8" t="s">
        <v>14</v>
      </c>
      <c r="D39" s="64">
        <f t="shared" si="16"/>
        <v>5722</v>
      </c>
      <c r="E39" s="6"/>
      <c r="F39" s="6">
        <v>5</v>
      </c>
      <c r="G39" s="65">
        <v>1471</v>
      </c>
      <c r="H39" s="66">
        <f t="shared" si="17"/>
        <v>4256</v>
      </c>
      <c r="I39" s="77">
        <f>[19]对账!$B$43</f>
        <v>1902</v>
      </c>
      <c r="J39" s="64">
        <f t="shared" si="18"/>
        <v>-431</v>
      </c>
      <c r="K39" s="80"/>
    </row>
    <row r="40" customHeight="1" spans="1:11">
      <c r="A40" s="63">
        <v>43684</v>
      </c>
      <c r="B40" s="8" t="s">
        <v>15</v>
      </c>
      <c r="C40" s="8" t="s">
        <v>16</v>
      </c>
      <c r="D40" s="64">
        <f t="shared" si="16"/>
        <v>7571</v>
      </c>
      <c r="E40" s="6"/>
      <c r="F40" s="6">
        <v>3</v>
      </c>
      <c r="G40" s="65">
        <v>645</v>
      </c>
      <c r="H40" s="66">
        <f t="shared" si="17"/>
        <v>6929</v>
      </c>
      <c r="I40" s="77">
        <f>[20]好评返现对账!$B$51</f>
        <v>651</v>
      </c>
      <c r="J40" s="64">
        <f t="shared" si="18"/>
        <v>-6</v>
      </c>
      <c r="K40" s="80"/>
    </row>
    <row r="41" customHeight="1" spans="1:11">
      <c r="A41" s="63">
        <v>43684</v>
      </c>
      <c r="B41" s="8" t="s">
        <v>18</v>
      </c>
      <c r="C41" s="8" t="s">
        <v>19</v>
      </c>
      <c r="D41" s="64">
        <f t="shared" si="16"/>
        <v>10845.5</v>
      </c>
      <c r="E41" s="6"/>
      <c r="F41" s="6"/>
      <c r="G41" s="65">
        <v>2021</v>
      </c>
      <c r="H41" s="66">
        <f t="shared" si="17"/>
        <v>8824.5</v>
      </c>
      <c r="I41" s="77">
        <f>[22]账单!$E$9</f>
        <v>2021</v>
      </c>
      <c r="J41" s="64">
        <f t="shared" si="18"/>
        <v>0</v>
      </c>
      <c r="K41" s="101"/>
    </row>
    <row r="42" customHeight="1" spans="1:11">
      <c r="A42" s="67">
        <v>43684</v>
      </c>
      <c r="B42" s="68" t="s">
        <v>18</v>
      </c>
      <c r="C42" s="68" t="s">
        <v>20</v>
      </c>
      <c r="D42" s="69">
        <f t="shared" si="16"/>
        <v>14998</v>
      </c>
      <c r="E42" s="70"/>
      <c r="F42" s="70"/>
      <c r="G42" s="71">
        <v>3115</v>
      </c>
      <c r="H42" s="72">
        <f t="shared" si="17"/>
        <v>11883</v>
      </c>
      <c r="I42" s="81">
        <f>[21]账单!$E$9</f>
        <v>3115</v>
      </c>
      <c r="J42" s="69">
        <f t="shared" si="18"/>
        <v>0</v>
      </c>
      <c r="K42" s="82"/>
    </row>
    <row r="43" customHeight="1" spans="1:11">
      <c r="A43" s="99" t="s">
        <v>0</v>
      </c>
      <c r="B43" s="60" t="s">
        <v>1</v>
      </c>
      <c r="C43" s="60" t="s">
        <v>2</v>
      </c>
      <c r="D43" s="59" t="s">
        <v>3</v>
      </c>
      <c r="E43" s="60" t="s">
        <v>4</v>
      </c>
      <c r="F43" s="60" t="s">
        <v>5</v>
      </c>
      <c r="G43" s="61" t="s">
        <v>6</v>
      </c>
      <c r="H43" s="62" t="s">
        <v>7</v>
      </c>
      <c r="I43" s="75" t="s">
        <v>8</v>
      </c>
      <c r="J43" s="59" t="s">
        <v>9</v>
      </c>
      <c r="K43" s="100" t="s">
        <v>10</v>
      </c>
    </row>
    <row r="44" customHeight="1" spans="1:11">
      <c r="A44" s="63">
        <v>43685</v>
      </c>
      <c r="B44" s="8" t="s">
        <v>11</v>
      </c>
      <c r="C44" s="8" t="s">
        <v>12</v>
      </c>
      <c r="D44" s="64">
        <f t="shared" ref="D44:D48" si="19">H38</f>
        <v>73</v>
      </c>
      <c r="E44" s="6">
        <v>10000</v>
      </c>
      <c r="F44" s="6"/>
      <c r="G44" s="65">
        <v>249.3</v>
      </c>
      <c r="H44" s="66">
        <f t="shared" ref="H44:H48" si="20">D44-G44+E44+F44</f>
        <v>9823.7</v>
      </c>
      <c r="I44" s="77">
        <f>[24]对账!$B$74</f>
        <v>249.3</v>
      </c>
      <c r="J44" s="64">
        <f t="shared" ref="J44:J48" si="21">G44-I44</f>
        <v>0</v>
      </c>
      <c r="K44" s="80"/>
    </row>
    <row r="45" customHeight="1" spans="1:11">
      <c r="A45" s="63">
        <v>43685</v>
      </c>
      <c r="B45" s="8" t="s">
        <v>31</v>
      </c>
      <c r="C45" s="8" t="s">
        <v>14</v>
      </c>
      <c r="D45" s="64">
        <f t="shared" si="19"/>
        <v>4256</v>
      </c>
      <c r="E45" s="6"/>
      <c r="F45" s="6"/>
      <c r="G45" s="65">
        <v>2825</v>
      </c>
      <c r="H45" s="66">
        <f t="shared" si="20"/>
        <v>1431</v>
      </c>
      <c r="I45" s="77">
        <f>[19]对账!$B$44</f>
        <v>2745</v>
      </c>
      <c r="J45" s="64">
        <f t="shared" si="21"/>
        <v>80</v>
      </c>
      <c r="K45" s="80"/>
    </row>
    <row r="46" customHeight="1" spans="1:11">
      <c r="A46" s="63">
        <v>43685</v>
      </c>
      <c r="B46" s="8" t="s">
        <v>15</v>
      </c>
      <c r="C46" s="8" t="s">
        <v>16</v>
      </c>
      <c r="D46" s="64">
        <f t="shared" si="19"/>
        <v>6929</v>
      </c>
      <c r="E46" s="6"/>
      <c r="F46" s="6"/>
      <c r="G46" s="65">
        <v>2181</v>
      </c>
      <c r="H46" s="66">
        <f t="shared" si="20"/>
        <v>4748</v>
      </c>
      <c r="I46" s="77">
        <f>[20]好评返现对账!$B$52</f>
        <v>2243</v>
      </c>
      <c r="J46" s="64">
        <f t="shared" si="21"/>
        <v>-62</v>
      </c>
      <c r="K46" s="80" t="s">
        <v>35</v>
      </c>
    </row>
    <row r="47" customHeight="1" spans="1:11">
      <c r="A47" s="63">
        <v>43685</v>
      </c>
      <c r="B47" s="8" t="s">
        <v>18</v>
      </c>
      <c r="C47" s="8" t="s">
        <v>19</v>
      </c>
      <c r="D47" s="64">
        <f t="shared" si="19"/>
        <v>8824.5</v>
      </c>
      <c r="E47" s="6"/>
      <c r="F47" s="6"/>
      <c r="G47" s="65">
        <v>0</v>
      </c>
      <c r="H47" s="66">
        <f t="shared" si="20"/>
        <v>8824.5</v>
      </c>
      <c r="I47" s="77">
        <v>0</v>
      </c>
      <c r="J47" s="64">
        <f t="shared" si="21"/>
        <v>0</v>
      </c>
      <c r="K47" s="101"/>
    </row>
    <row r="48" customHeight="1" spans="1:11">
      <c r="A48" s="67">
        <v>43685</v>
      </c>
      <c r="B48" s="68" t="s">
        <v>18</v>
      </c>
      <c r="C48" s="68" t="s">
        <v>20</v>
      </c>
      <c r="D48" s="69">
        <f t="shared" si="19"/>
        <v>11883</v>
      </c>
      <c r="E48" s="70"/>
      <c r="F48" s="70"/>
      <c r="G48" s="71">
        <v>0</v>
      </c>
      <c r="H48" s="72">
        <f t="shared" si="20"/>
        <v>11883</v>
      </c>
      <c r="I48" s="81">
        <v>0</v>
      </c>
      <c r="J48" s="69">
        <f t="shared" si="21"/>
        <v>0</v>
      </c>
      <c r="K48" s="82"/>
    </row>
    <row r="49" customHeight="1" spans="1:11">
      <c r="A49" s="99" t="s">
        <v>0</v>
      </c>
      <c r="B49" s="60" t="s">
        <v>1</v>
      </c>
      <c r="C49" s="60" t="s">
        <v>2</v>
      </c>
      <c r="D49" s="59" t="s">
        <v>3</v>
      </c>
      <c r="E49" s="60" t="s">
        <v>4</v>
      </c>
      <c r="F49" s="60" t="s">
        <v>5</v>
      </c>
      <c r="G49" s="61" t="s">
        <v>6</v>
      </c>
      <c r="H49" s="62" t="s">
        <v>7</v>
      </c>
      <c r="I49" s="75" t="s">
        <v>8</v>
      </c>
      <c r="J49" s="59" t="s">
        <v>9</v>
      </c>
      <c r="K49" s="100" t="s">
        <v>10</v>
      </c>
    </row>
    <row r="50" customHeight="1" spans="1:11">
      <c r="A50" s="63">
        <v>43686</v>
      </c>
      <c r="B50" s="8" t="s">
        <v>11</v>
      </c>
      <c r="C50" s="8" t="s">
        <v>12</v>
      </c>
      <c r="D50" s="64">
        <f t="shared" ref="D50:D54" si="22">H44</f>
        <v>9823.7</v>
      </c>
      <c r="E50" s="6"/>
      <c r="F50" s="6"/>
      <c r="G50" s="65">
        <v>0</v>
      </c>
      <c r="H50" s="66">
        <f t="shared" ref="H50:H54" si="23">D50-G50+E50+F50</f>
        <v>9823.7</v>
      </c>
      <c r="I50" s="77">
        <f>[24]对账!$B$75</f>
        <v>10</v>
      </c>
      <c r="J50" s="64">
        <f t="shared" ref="J50:J54" si="24">G50-I50</f>
        <v>-10</v>
      </c>
      <c r="K50" s="80"/>
    </row>
    <row r="51" customHeight="1" spans="1:11">
      <c r="A51" s="63">
        <v>43686</v>
      </c>
      <c r="B51" s="8" t="s">
        <v>31</v>
      </c>
      <c r="C51" s="8" t="s">
        <v>14</v>
      </c>
      <c r="D51" s="64">
        <f t="shared" si="22"/>
        <v>1431</v>
      </c>
      <c r="E51" s="6"/>
      <c r="F51" s="6">
        <v>385</v>
      </c>
      <c r="G51" s="65">
        <v>1748</v>
      </c>
      <c r="H51" s="66">
        <f t="shared" si="23"/>
        <v>68</v>
      </c>
      <c r="I51" s="77">
        <f>[19]对账!$B$45</f>
        <v>1745</v>
      </c>
      <c r="J51" s="64">
        <f t="shared" si="24"/>
        <v>3</v>
      </c>
      <c r="K51" s="80"/>
    </row>
    <row r="52" customHeight="1" spans="1:11">
      <c r="A52" s="63">
        <v>43686</v>
      </c>
      <c r="B52" s="8" t="s">
        <v>15</v>
      </c>
      <c r="C52" s="8" t="s">
        <v>16</v>
      </c>
      <c r="D52" s="64">
        <f t="shared" si="22"/>
        <v>4748</v>
      </c>
      <c r="E52" s="6"/>
      <c r="F52" s="6"/>
      <c r="G52" s="65">
        <v>1394</v>
      </c>
      <c r="H52" s="66">
        <f t="shared" si="23"/>
        <v>3354</v>
      </c>
      <c r="I52" s="77">
        <f>[25]好评返现对账!$B$53</f>
        <v>1458.6</v>
      </c>
      <c r="J52" s="64">
        <f t="shared" si="24"/>
        <v>-64.5999999999999</v>
      </c>
      <c r="K52" s="80" t="s">
        <v>36</v>
      </c>
    </row>
    <row r="53" customHeight="1" spans="1:11">
      <c r="A53" s="63">
        <v>43686</v>
      </c>
      <c r="B53" s="8" t="s">
        <v>18</v>
      </c>
      <c r="C53" s="8" t="s">
        <v>19</v>
      </c>
      <c r="D53" s="64">
        <f t="shared" si="22"/>
        <v>8824.5</v>
      </c>
      <c r="E53" s="6"/>
      <c r="F53" s="6">
        <v>1062</v>
      </c>
      <c r="G53" s="65">
        <v>1482</v>
      </c>
      <c r="H53" s="66">
        <f t="shared" si="23"/>
        <v>8404.5</v>
      </c>
      <c r="I53" s="77">
        <f>[22]账单!$E$11</f>
        <v>1481.6</v>
      </c>
      <c r="J53" s="64">
        <f t="shared" si="24"/>
        <v>0.400000000000318</v>
      </c>
      <c r="K53" s="101" t="s">
        <v>37</v>
      </c>
    </row>
    <row r="54" customHeight="1" spans="1:11">
      <c r="A54" s="84">
        <v>43686</v>
      </c>
      <c r="B54" s="85" t="s">
        <v>18</v>
      </c>
      <c r="C54" s="85" t="s">
        <v>20</v>
      </c>
      <c r="D54" s="86">
        <f t="shared" si="22"/>
        <v>11883</v>
      </c>
      <c r="E54" s="87"/>
      <c r="F54" s="87"/>
      <c r="G54" s="88">
        <v>3665</v>
      </c>
      <c r="H54" s="89">
        <f t="shared" si="23"/>
        <v>8218</v>
      </c>
      <c r="I54" s="95">
        <f>[21]账单!$E$11</f>
        <v>3665.4</v>
      </c>
      <c r="J54" s="86">
        <f t="shared" si="24"/>
        <v>-0.40000000000191</v>
      </c>
      <c r="K54" s="96"/>
    </row>
    <row r="55" customHeight="1" spans="1:11">
      <c r="A55" s="99" t="s">
        <v>0</v>
      </c>
      <c r="B55" s="60" t="s">
        <v>1</v>
      </c>
      <c r="C55" s="60" t="s">
        <v>2</v>
      </c>
      <c r="D55" s="59" t="s">
        <v>3</v>
      </c>
      <c r="E55" s="60" t="s">
        <v>4</v>
      </c>
      <c r="F55" s="60" t="s">
        <v>5</v>
      </c>
      <c r="G55" s="61" t="s">
        <v>6</v>
      </c>
      <c r="H55" s="62" t="s">
        <v>7</v>
      </c>
      <c r="I55" s="75" t="s">
        <v>8</v>
      </c>
      <c r="J55" s="59" t="s">
        <v>9</v>
      </c>
      <c r="K55" s="100" t="s">
        <v>10</v>
      </c>
    </row>
    <row r="56" customHeight="1" spans="1:11">
      <c r="A56" s="63">
        <v>43687</v>
      </c>
      <c r="B56" s="8" t="s">
        <v>11</v>
      </c>
      <c r="C56" s="8" t="s">
        <v>12</v>
      </c>
      <c r="D56" s="64">
        <f t="shared" ref="D56:D60" si="25">H50</f>
        <v>9823.7</v>
      </c>
      <c r="E56" s="6"/>
      <c r="F56" s="6"/>
      <c r="G56" s="65">
        <v>0</v>
      </c>
      <c r="H56" s="66">
        <f t="shared" ref="H56:H60" si="26">D56-G56+E56+F56</f>
        <v>9823.7</v>
      </c>
      <c r="I56" s="77">
        <f>[24]对账!$B$76</f>
        <v>15</v>
      </c>
      <c r="J56" s="64">
        <f t="shared" ref="J56:J62" si="27">G56-I56</f>
        <v>-15</v>
      </c>
      <c r="K56" s="80"/>
    </row>
    <row r="57" customHeight="1" spans="1:11">
      <c r="A57" s="63">
        <v>43687</v>
      </c>
      <c r="B57" s="8" t="s">
        <v>31</v>
      </c>
      <c r="C57" s="8" t="s">
        <v>14</v>
      </c>
      <c r="D57" s="64">
        <f t="shared" si="25"/>
        <v>68</v>
      </c>
      <c r="E57" s="6"/>
      <c r="F57" s="6"/>
      <c r="G57" s="65">
        <v>68</v>
      </c>
      <c r="H57" s="66">
        <f t="shared" si="26"/>
        <v>0</v>
      </c>
      <c r="I57" s="77">
        <v>68</v>
      </c>
      <c r="J57" s="64">
        <f t="shared" si="27"/>
        <v>0</v>
      </c>
      <c r="K57" s="80"/>
    </row>
    <row r="58" customHeight="1" spans="1:11">
      <c r="A58" s="63">
        <v>43687</v>
      </c>
      <c r="B58" s="8" t="s">
        <v>15</v>
      </c>
      <c r="C58" s="8" t="s">
        <v>16</v>
      </c>
      <c r="D58" s="64">
        <f t="shared" si="25"/>
        <v>3354</v>
      </c>
      <c r="E58" s="6"/>
      <c r="F58" s="6"/>
      <c r="G58" s="65">
        <v>1473</v>
      </c>
      <c r="H58" s="66">
        <f t="shared" si="26"/>
        <v>1881</v>
      </c>
      <c r="I58" s="77">
        <f>[28]好评返现对账!$B$54</f>
        <v>1461</v>
      </c>
      <c r="J58" s="64">
        <f t="shared" si="27"/>
        <v>12</v>
      </c>
      <c r="K58" s="80" t="s">
        <v>38</v>
      </c>
    </row>
    <row r="59" customHeight="1" spans="1:11">
      <c r="A59" s="63">
        <v>43687</v>
      </c>
      <c r="B59" s="8" t="s">
        <v>31</v>
      </c>
      <c r="C59" s="8" t="s">
        <v>19</v>
      </c>
      <c r="D59" s="64">
        <f t="shared" si="25"/>
        <v>8404.5</v>
      </c>
      <c r="E59" s="6"/>
      <c r="F59" s="6"/>
      <c r="G59" s="65">
        <v>1848</v>
      </c>
      <c r="H59" s="66">
        <f t="shared" si="26"/>
        <v>6556.5</v>
      </c>
      <c r="I59" s="77">
        <v>1887</v>
      </c>
      <c r="J59" s="64">
        <f t="shared" si="27"/>
        <v>-39</v>
      </c>
      <c r="K59" s="101" t="s">
        <v>39</v>
      </c>
    </row>
    <row r="60" customHeight="1" spans="1:11">
      <c r="A60" s="63">
        <v>43687</v>
      </c>
      <c r="B60" s="8" t="s">
        <v>18</v>
      </c>
      <c r="C60" s="8" t="s">
        <v>20</v>
      </c>
      <c r="D60" s="64">
        <f t="shared" si="25"/>
        <v>8218</v>
      </c>
      <c r="E60" s="6"/>
      <c r="F60" s="6">
        <v>64</v>
      </c>
      <c r="G60" s="65">
        <v>2751</v>
      </c>
      <c r="H60" s="66">
        <f t="shared" si="26"/>
        <v>5531</v>
      </c>
      <c r="I60" s="77">
        <f>[26]账单!$E$12</f>
        <v>2751</v>
      </c>
      <c r="J60" s="64">
        <f t="shared" si="27"/>
        <v>0</v>
      </c>
      <c r="K60" s="80"/>
    </row>
    <row r="61" customHeight="1" spans="1:11">
      <c r="A61" s="63">
        <v>43687</v>
      </c>
      <c r="B61" s="8" t="s">
        <v>18</v>
      </c>
      <c r="C61" s="8" t="s">
        <v>40</v>
      </c>
      <c r="D61" s="64">
        <v>0</v>
      </c>
      <c r="E61" s="6">
        <v>10000</v>
      </c>
      <c r="F61" s="6"/>
      <c r="G61" s="65">
        <v>2426</v>
      </c>
      <c r="H61" s="66">
        <f>D61+E61+F61-G61</f>
        <v>7574</v>
      </c>
      <c r="I61" s="77">
        <v>2426</v>
      </c>
      <c r="J61" s="64">
        <f t="shared" si="27"/>
        <v>0</v>
      </c>
      <c r="K61" s="80"/>
    </row>
    <row r="62" customHeight="1" spans="1:11">
      <c r="A62" s="84">
        <v>43687</v>
      </c>
      <c r="B62" s="85"/>
      <c r="C62" s="85" t="s">
        <v>41</v>
      </c>
      <c r="D62" s="86">
        <v>2593</v>
      </c>
      <c r="E62" s="87"/>
      <c r="F62" s="87"/>
      <c r="G62" s="88">
        <v>797</v>
      </c>
      <c r="H62" s="89">
        <f>D62+E62+F62-G62</f>
        <v>1796</v>
      </c>
      <c r="I62" s="95">
        <v>797</v>
      </c>
      <c r="J62" s="86">
        <f t="shared" si="27"/>
        <v>0</v>
      </c>
      <c r="K62" s="96"/>
    </row>
    <row r="63" customHeight="1" spans="1:11">
      <c r="A63" s="99" t="s">
        <v>0</v>
      </c>
      <c r="B63" s="60" t="s">
        <v>1</v>
      </c>
      <c r="C63" s="60" t="s">
        <v>2</v>
      </c>
      <c r="D63" s="59" t="s">
        <v>3</v>
      </c>
      <c r="E63" s="60" t="s">
        <v>4</v>
      </c>
      <c r="F63" s="60" t="s">
        <v>5</v>
      </c>
      <c r="G63" s="61" t="s">
        <v>6</v>
      </c>
      <c r="H63" s="62" t="s">
        <v>7</v>
      </c>
      <c r="I63" s="75" t="s">
        <v>8</v>
      </c>
      <c r="J63" s="59" t="s">
        <v>9</v>
      </c>
      <c r="K63" s="100" t="s">
        <v>10</v>
      </c>
    </row>
    <row r="64" customHeight="1" spans="1:11">
      <c r="A64" s="63">
        <v>43688</v>
      </c>
      <c r="B64" s="8" t="s">
        <v>11</v>
      </c>
      <c r="C64" s="8" t="s">
        <v>12</v>
      </c>
      <c r="D64" s="64">
        <f>H56</f>
        <v>9823.7</v>
      </c>
      <c r="E64" s="6"/>
      <c r="F64" s="6"/>
      <c r="G64" s="65">
        <v>5</v>
      </c>
      <c r="H64" s="66">
        <f>D64-G64+E64+F64</f>
        <v>9818.7</v>
      </c>
      <c r="I64" s="77">
        <v>5</v>
      </c>
      <c r="J64" s="64">
        <f t="shared" ref="J64:J69" si="28">G64-I64</f>
        <v>0</v>
      </c>
      <c r="K64" s="80"/>
    </row>
    <row r="65" customHeight="1" spans="1:11">
      <c r="A65" s="63">
        <v>43688</v>
      </c>
      <c r="B65" s="8" t="s">
        <v>15</v>
      </c>
      <c r="C65" s="8" t="s">
        <v>16</v>
      </c>
      <c r="D65" s="64">
        <f>H58</f>
        <v>1881</v>
      </c>
      <c r="E65" s="6">
        <v>10000</v>
      </c>
      <c r="F65" s="6"/>
      <c r="G65" s="65">
        <v>4779</v>
      </c>
      <c r="H65" s="66">
        <f>D65-G65+E65+F65</f>
        <v>7102</v>
      </c>
      <c r="I65" s="77">
        <f>[28]好评返现对账!$B$55</f>
        <v>4758</v>
      </c>
      <c r="J65" s="64">
        <f t="shared" si="28"/>
        <v>21</v>
      </c>
      <c r="K65" s="80" t="s">
        <v>42</v>
      </c>
    </row>
    <row r="66" customHeight="1" spans="1:11">
      <c r="A66" s="63">
        <v>43688</v>
      </c>
      <c r="B66" s="8" t="s">
        <v>31</v>
      </c>
      <c r="C66" s="8" t="s">
        <v>19</v>
      </c>
      <c r="D66" s="64">
        <f>H59</f>
        <v>6556.5</v>
      </c>
      <c r="E66" s="6"/>
      <c r="F66" s="6"/>
      <c r="G66" s="65">
        <v>2996</v>
      </c>
      <c r="H66" s="66">
        <f>D66-G66+E66+F66</f>
        <v>3560.5</v>
      </c>
      <c r="I66" s="77">
        <f>[27]对账!$B$48</f>
        <v>3863</v>
      </c>
      <c r="J66" s="64">
        <f t="shared" si="28"/>
        <v>-867</v>
      </c>
      <c r="K66" s="101" t="s">
        <v>43</v>
      </c>
    </row>
    <row r="67" customHeight="1" spans="1:11">
      <c r="A67" s="63">
        <v>43688</v>
      </c>
      <c r="B67" s="8" t="s">
        <v>18</v>
      </c>
      <c r="C67" s="8" t="s">
        <v>20</v>
      </c>
      <c r="D67" s="64">
        <f>H60</f>
        <v>5531</v>
      </c>
      <c r="E67" s="6"/>
      <c r="F67" s="6"/>
      <c r="G67" s="65">
        <v>0</v>
      </c>
      <c r="H67" s="66">
        <f>D67-G67+E67+F67</f>
        <v>5531</v>
      </c>
      <c r="I67" s="77">
        <v>0</v>
      </c>
      <c r="J67" s="64">
        <f t="shared" si="28"/>
        <v>0</v>
      </c>
      <c r="K67" s="80"/>
    </row>
    <row r="68" customHeight="1" spans="1:11">
      <c r="A68" s="63">
        <v>43688</v>
      </c>
      <c r="B68" s="8" t="s">
        <v>18</v>
      </c>
      <c r="C68" s="8" t="s">
        <v>40</v>
      </c>
      <c r="D68" s="64">
        <f>H61</f>
        <v>7574</v>
      </c>
      <c r="E68" s="6"/>
      <c r="F68" s="6"/>
      <c r="G68" s="65">
        <v>0</v>
      </c>
      <c r="H68" s="66">
        <f>D68+E68+F68-G68</f>
        <v>7574</v>
      </c>
      <c r="I68" s="77">
        <f>[30]账单!$E$13</f>
        <v>0</v>
      </c>
      <c r="J68" s="64">
        <f t="shared" si="28"/>
        <v>0</v>
      </c>
      <c r="K68" s="80"/>
    </row>
    <row r="69" customHeight="1" spans="1:11">
      <c r="A69" s="84">
        <v>43688</v>
      </c>
      <c r="B69" s="85"/>
      <c r="C69" s="85" t="s">
        <v>41</v>
      </c>
      <c r="D69" s="86">
        <f>H62</f>
        <v>1796</v>
      </c>
      <c r="E69" s="87"/>
      <c r="F69" s="87"/>
      <c r="G69" s="88">
        <v>1070</v>
      </c>
      <c r="H69" s="89">
        <f>D69+E69+F69-G69</f>
        <v>726</v>
      </c>
      <c r="I69" s="95">
        <f>[28]晓杰微信对账!$H$7+867</f>
        <v>1104</v>
      </c>
      <c r="J69" s="86">
        <f t="shared" si="28"/>
        <v>-34</v>
      </c>
      <c r="K69" s="96" t="s">
        <v>44</v>
      </c>
    </row>
    <row r="70" customHeight="1" spans="1:11">
      <c r="A70" s="99" t="s">
        <v>0</v>
      </c>
      <c r="B70" s="60" t="s">
        <v>1</v>
      </c>
      <c r="C70" s="60" t="s">
        <v>2</v>
      </c>
      <c r="D70" s="59" t="s">
        <v>3</v>
      </c>
      <c r="E70" s="60" t="s">
        <v>4</v>
      </c>
      <c r="F70" s="60" t="s">
        <v>5</v>
      </c>
      <c r="G70" s="61" t="s">
        <v>6</v>
      </c>
      <c r="H70" s="62" t="s">
        <v>7</v>
      </c>
      <c r="I70" s="75" t="s">
        <v>8</v>
      </c>
      <c r="J70" s="59" t="s">
        <v>9</v>
      </c>
      <c r="K70" s="100" t="s">
        <v>10</v>
      </c>
    </row>
    <row r="71" customHeight="1" spans="1:11">
      <c r="A71" s="63">
        <v>43689</v>
      </c>
      <c r="B71" s="8" t="s">
        <v>11</v>
      </c>
      <c r="C71" s="8" t="s">
        <v>12</v>
      </c>
      <c r="D71" s="64">
        <f t="shared" ref="D71:D76" si="29">H64</f>
        <v>9818.7</v>
      </c>
      <c r="E71" s="6"/>
      <c r="F71" s="6"/>
      <c r="G71" s="65">
        <v>0</v>
      </c>
      <c r="H71" s="66">
        <f>D71-G71+E71+F71</f>
        <v>9818.7</v>
      </c>
      <c r="I71" s="77">
        <v>0</v>
      </c>
      <c r="J71" s="64">
        <f t="shared" ref="J71:J76" si="30">G71-I71</f>
        <v>0</v>
      </c>
      <c r="K71" s="80"/>
    </row>
    <row r="72" customHeight="1" spans="1:11">
      <c r="A72" s="63">
        <v>43689</v>
      </c>
      <c r="B72" s="8" t="s">
        <v>15</v>
      </c>
      <c r="C72" s="8" t="s">
        <v>16</v>
      </c>
      <c r="D72" s="64">
        <f t="shared" si="29"/>
        <v>7102</v>
      </c>
      <c r="E72" s="6"/>
      <c r="F72" s="6"/>
      <c r="G72" s="65">
        <v>1091</v>
      </c>
      <c r="H72" s="66">
        <f>D72-G72+E72+F72</f>
        <v>6011</v>
      </c>
      <c r="I72" s="77">
        <f>[28]好评返现对账!$B$56</f>
        <v>946</v>
      </c>
      <c r="J72" s="64">
        <f t="shared" si="30"/>
        <v>145</v>
      </c>
      <c r="K72" s="80" t="s">
        <v>45</v>
      </c>
    </row>
    <row r="73" customHeight="1" spans="1:11">
      <c r="A73" s="63">
        <v>43689</v>
      </c>
      <c r="B73" s="8" t="s">
        <v>31</v>
      </c>
      <c r="C73" s="8" t="s">
        <v>19</v>
      </c>
      <c r="D73" s="64">
        <f t="shared" si="29"/>
        <v>3560.5</v>
      </c>
      <c r="E73" s="6"/>
      <c r="F73" s="6"/>
      <c r="G73" s="65">
        <v>2946</v>
      </c>
      <c r="H73" s="66">
        <f>D73-G73+E73+F73</f>
        <v>614.5</v>
      </c>
      <c r="I73" s="77">
        <f>[27]对账!$B$49</f>
        <v>3227</v>
      </c>
      <c r="J73" s="64">
        <f t="shared" si="30"/>
        <v>-281</v>
      </c>
      <c r="K73" s="101" t="s">
        <v>46</v>
      </c>
    </row>
    <row r="74" customHeight="1" spans="1:11">
      <c r="A74" s="63">
        <v>43689</v>
      </c>
      <c r="B74" s="8" t="s">
        <v>18</v>
      </c>
      <c r="C74" s="8" t="s">
        <v>20</v>
      </c>
      <c r="D74" s="64">
        <f t="shared" si="29"/>
        <v>5531</v>
      </c>
      <c r="E74" s="6"/>
      <c r="F74" s="6"/>
      <c r="G74" s="65">
        <v>1690</v>
      </c>
      <c r="H74" s="66">
        <f>D74-G74+E74+F74</f>
        <v>3841</v>
      </c>
      <c r="I74" s="77">
        <f>[29]账单!$E$15</f>
        <v>1690</v>
      </c>
      <c r="J74" s="64">
        <f t="shared" si="30"/>
        <v>0</v>
      </c>
      <c r="K74" s="80"/>
    </row>
    <row r="75" customHeight="1" spans="1:11">
      <c r="A75" s="63">
        <v>43689</v>
      </c>
      <c r="B75" s="8" t="s">
        <v>18</v>
      </c>
      <c r="C75" s="8" t="s">
        <v>40</v>
      </c>
      <c r="D75" s="64">
        <f t="shared" si="29"/>
        <v>7574</v>
      </c>
      <c r="E75" s="6"/>
      <c r="F75" s="6"/>
      <c r="G75" s="65">
        <v>3311</v>
      </c>
      <c r="H75" s="66">
        <f>D75+E75+F75-G75</f>
        <v>4263</v>
      </c>
      <c r="I75" s="77">
        <f>[30]账单!$E$14</f>
        <v>3311</v>
      </c>
      <c r="J75" s="64">
        <f t="shared" si="30"/>
        <v>0</v>
      </c>
      <c r="K75" s="80"/>
    </row>
    <row r="76" customHeight="1" spans="1:11">
      <c r="A76" s="84">
        <v>43689</v>
      </c>
      <c r="B76" s="85"/>
      <c r="C76" s="85" t="s">
        <v>41</v>
      </c>
      <c r="D76" s="86">
        <f t="shared" si="29"/>
        <v>726</v>
      </c>
      <c r="E76" s="87"/>
      <c r="F76" s="87"/>
      <c r="G76" s="88">
        <v>355</v>
      </c>
      <c r="H76" s="89">
        <f>D76+E76+F76-G76</f>
        <v>371</v>
      </c>
      <c r="I76" s="95">
        <f>[28]晓杰微信对账!$H$8+236</f>
        <v>251</v>
      </c>
      <c r="J76" s="86">
        <f t="shared" si="30"/>
        <v>104</v>
      </c>
      <c r="K76" s="96" t="s">
        <v>47</v>
      </c>
    </row>
    <row r="77" customHeight="1" spans="1:11">
      <c r="A77" s="99" t="s">
        <v>0</v>
      </c>
      <c r="B77" s="60" t="s">
        <v>1</v>
      </c>
      <c r="C77" s="60" t="s">
        <v>2</v>
      </c>
      <c r="D77" s="59" t="s">
        <v>3</v>
      </c>
      <c r="E77" s="60" t="s">
        <v>4</v>
      </c>
      <c r="F77" s="60" t="s">
        <v>5</v>
      </c>
      <c r="G77" s="61" t="s">
        <v>6</v>
      </c>
      <c r="H77" s="62" t="s">
        <v>7</v>
      </c>
      <c r="I77" s="75" t="s">
        <v>8</v>
      </c>
      <c r="J77" s="59" t="s">
        <v>9</v>
      </c>
      <c r="K77" s="100" t="s">
        <v>10</v>
      </c>
    </row>
    <row r="78" customHeight="1" spans="1:11">
      <c r="A78" s="63">
        <v>43690</v>
      </c>
      <c r="B78" s="8" t="s">
        <v>11</v>
      </c>
      <c r="C78" s="8" t="s">
        <v>12</v>
      </c>
      <c r="D78" s="64">
        <f t="shared" ref="D78:D83" si="31">H71</f>
        <v>9818.7</v>
      </c>
      <c r="E78" s="6"/>
      <c r="F78" s="6"/>
      <c r="G78" s="65">
        <v>78</v>
      </c>
      <c r="H78" s="66">
        <f>D78-G78+E78+F78</f>
        <v>9740.7</v>
      </c>
      <c r="I78" s="77">
        <v>78</v>
      </c>
      <c r="J78" s="64">
        <f t="shared" ref="J78:J83" si="32">G78-I78</f>
        <v>0</v>
      </c>
      <c r="K78" s="80"/>
    </row>
    <row r="79" customHeight="1" spans="1:11">
      <c r="A79" s="63">
        <v>43690</v>
      </c>
      <c r="B79" s="8" t="s">
        <v>15</v>
      </c>
      <c r="C79" s="8" t="s">
        <v>16</v>
      </c>
      <c r="D79" s="64">
        <f t="shared" si="31"/>
        <v>6011</v>
      </c>
      <c r="E79" s="6"/>
      <c r="F79" s="6">
        <v>59</v>
      </c>
      <c r="G79" s="65">
        <f>867+5</f>
        <v>872</v>
      </c>
      <c r="H79" s="66">
        <f>D79-G79+E79+F79</f>
        <v>5198</v>
      </c>
      <c r="I79" s="77">
        <f>[28]好评返现对账!$B$57</f>
        <v>815</v>
      </c>
      <c r="J79" s="64">
        <f t="shared" si="32"/>
        <v>57</v>
      </c>
      <c r="K79" s="80" t="s">
        <v>48</v>
      </c>
    </row>
    <row r="80" customHeight="1" spans="1:11">
      <c r="A80" s="63">
        <v>43690</v>
      </c>
      <c r="B80" s="8" t="s">
        <v>31</v>
      </c>
      <c r="C80" s="8" t="s">
        <v>19</v>
      </c>
      <c r="D80" s="64">
        <f t="shared" si="31"/>
        <v>614.5</v>
      </c>
      <c r="E80" s="6">
        <v>10000</v>
      </c>
      <c r="F80" s="6">
        <v>5</v>
      </c>
      <c r="G80" s="65">
        <v>3435</v>
      </c>
      <c r="H80" s="66">
        <f t="shared" ref="H80:H88" si="33">D80-G80+E80+F80</f>
        <v>7184.5</v>
      </c>
      <c r="I80" s="77">
        <v>3435</v>
      </c>
      <c r="J80" s="64">
        <f t="shared" si="32"/>
        <v>0</v>
      </c>
      <c r="K80" s="101"/>
    </row>
    <row r="81" customHeight="1" spans="1:11">
      <c r="A81" s="63">
        <v>43690</v>
      </c>
      <c r="B81" s="8" t="s">
        <v>18</v>
      </c>
      <c r="C81" s="8" t="s">
        <v>20</v>
      </c>
      <c r="D81" s="64">
        <f t="shared" si="31"/>
        <v>3841</v>
      </c>
      <c r="E81" s="6"/>
      <c r="F81" s="6"/>
      <c r="G81" s="65">
        <v>1583</v>
      </c>
      <c r="H81" s="66">
        <f t="shared" si="33"/>
        <v>2258</v>
      </c>
      <c r="I81" s="77">
        <f>[29]账单!$E$16</f>
        <v>1580</v>
      </c>
      <c r="J81" s="64">
        <f t="shared" si="32"/>
        <v>3</v>
      </c>
      <c r="K81" s="80"/>
    </row>
    <row r="82" customHeight="1" spans="1:11">
      <c r="A82" s="63">
        <v>43690</v>
      </c>
      <c r="B82" s="8" t="s">
        <v>18</v>
      </c>
      <c r="C82" s="8" t="s">
        <v>40</v>
      </c>
      <c r="D82" s="64">
        <f t="shared" si="31"/>
        <v>4263</v>
      </c>
      <c r="E82" s="6"/>
      <c r="F82" s="6"/>
      <c r="G82" s="65">
        <v>3531</v>
      </c>
      <c r="H82" s="66">
        <f>D82+E82+F82-G82</f>
        <v>732</v>
      </c>
      <c r="I82" s="77">
        <f>[30]账单!$E$15</f>
        <v>3531</v>
      </c>
      <c r="J82" s="64">
        <f t="shared" si="32"/>
        <v>0</v>
      </c>
      <c r="K82" s="80"/>
    </row>
    <row r="83" customHeight="1" spans="1:11">
      <c r="A83" s="67">
        <v>43690</v>
      </c>
      <c r="B83" s="68"/>
      <c r="C83" s="68" t="s">
        <v>41</v>
      </c>
      <c r="D83" s="69">
        <f t="shared" si="31"/>
        <v>371</v>
      </c>
      <c r="E83" s="70"/>
      <c r="F83" s="70"/>
      <c r="G83" s="71">
        <v>262</v>
      </c>
      <c r="H83" s="72">
        <f>D83+E83+F83-G83</f>
        <v>109</v>
      </c>
      <c r="I83" s="81">
        <f>[28]晓杰微信对账!$H$9</f>
        <v>257</v>
      </c>
      <c r="J83" s="69">
        <f t="shared" si="32"/>
        <v>5</v>
      </c>
      <c r="K83" s="82"/>
    </row>
    <row r="84" customHeight="1" spans="1:11">
      <c r="A84" s="99" t="s">
        <v>0</v>
      </c>
      <c r="B84" s="60" t="s">
        <v>1</v>
      </c>
      <c r="C84" s="60" t="s">
        <v>2</v>
      </c>
      <c r="D84" s="59" t="s">
        <v>3</v>
      </c>
      <c r="E84" s="60" t="s">
        <v>4</v>
      </c>
      <c r="F84" s="60" t="s">
        <v>5</v>
      </c>
      <c r="G84" s="61" t="s">
        <v>6</v>
      </c>
      <c r="H84" s="62" t="s">
        <v>7</v>
      </c>
      <c r="I84" s="75" t="s">
        <v>8</v>
      </c>
      <c r="J84" s="59" t="s">
        <v>9</v>
      </c>
      <c r="K84" s="100" t="s">
        <v>10</v>
      </c>
    </row>
    <row r="85" customHeight="1" spans="1:11">
      <c r="A85" s="63">
        <v>43691</v>
      </c>
      <c r="B85" s="8" t="s">
        <v>11</v>
      </c>
      <c r="C85" s="8" t="s">
        <v>12</v>
      </c>
      <c r="D85" s="64">
        <f t="shared" ref="D85:D90" si="34">H78</f>
        <v>9740.7</v>
      </c>
      <c r="E85" s="6"/>
      <c r="F85" s="6"/>
      <c r="G85" s="65">
        <v>196</v>
      </c>
      <c r="H85" s="66">
        <f t="shared" si="33"/>
        <v>9544.7</v>
      </c>
      <c r="I85" s="77">
        <f>[34]对账!$B$78</f>
        <v>196</v>
      </c>
      <c r="J85" s="64">
        <f t="shared" ref="J85:J90" si="35">G85-I85</f>
        <v>0</v>
      </c>
      <c r="K85" s="80"/>
    </row>
    <row r="86" customHeight="1" spans="1:11">
      <c r="A86" s="63">
        <v>43691</v>
      </c>
      <c r="B86" s="8" t="s">
        <v>15</v>
      </c>
      <c r="C86" s="8" t="s">
        <v>16</v>
      </c>
      <c r="D86" s="64">
        <f t="shared" si="34"/>
        <v>5198</v>
      </c>
      <c r="E86" s="6"/>
      <c r="F86" s="6"/>
      <c r="G86" s="65">
        <v>1670</v>
      </c>
      <c r="H86" s="66">
        <f t="shared" si="33"/>
        <v>3528</v>
      </c>
      <c r="I86" s="77">
        <f>[35]好评返现对账!$B$59</f>
        <v>1216</v>
      </c>
      <c r="J86" s="64">
        <f t="shared" si="35"/>
        <v>454</v>
      </c>
      <c r="K86" s="80"/>
    </row>
    <row r="87" customHeight="1" spans="1:11">
      <c r="A87" s="63">
        <v>43691</v>
      </c>
      <c r="B87" s="8" t="s">
        <v>31</v>
      </c>
      <c r="C87" s="8" t="s">
        <v>19</v>
      </c>
      <c r="D87" s="64">
        <f t="shared" si="34"/>
        <v>7184.5</v>
      </c>
      <c r="E87" s="6"/>
      <c r="F87" s="6"/>
      <c r="G87" s="65">
        <v>3038</v>
      </c>
      <c r="H87" s="66">
        <f t="shared" si="33"/>
        <v>4146.5</v>
      </c>
      <c r="I87" s="77">
        <f>[31]对账!$B$51</f>
        <v>3567</v>
      </c>
      <c r="J87" s="64">
        <f t="shared" si="35"/>
        <v>-529</v>
      </c>
      <c r="K87" s="101" t="s">
        <v>49</v>
      </c>
    </row>
    <row r="88" customHeight="1" spans="1:11">
      <c r="A88" s="63">
        <v>43691</v>
      </c>
      <c r="B88" s="8" t="s">
        <v>18</v>
      </c>
      <c r="C88" s="8" t="s">
        <v>20</v>
      </c>
      <c r="D88" s="64">
        <f t="shared" si="34"/>
        <v>2258</v>
      </c>
      <c r="E88" s="6">
        <v>10000</v>
      </c>
      <c r="F88" s="6"/>
      <c r="G88" s="65">
        <v>1256</v>
      </c>
      <c r="H88" s="66">
        <f t="shared" si="33"/>
        <v>11002</v>
      </c>
      <c r="I88" s="77">
        <f>[32]账单!$E$17</f>
        <v>1256</v>
      </c>
      <c r="J88" s="64">
        <f t="shared" si="35"/>
        <v>0</v>
      </c>
      <c r="K88" s="80"/>
    </row>
    <row r="89" customHeight="1" spans="1:11">
      <c r="A89" s="63">
        <v>43691</v>
      </c>
      <c r="B89" s="8" t="s">
        <v>18</v>
      </c>
      <c r="C89" s="8" t="s">
        <v>40</v>
      </c>
      <c r="D89" s="64">
        <f t="shared" si="34"/>
        <v>732</v>
      </c>
      <c r="E89" s="6">
        <v>10000</v>
      </c>
      <c r="F89" s="6"/>
      <c r="G89" s="65">
        <v>3434</v>
      </c>
      <c r="H89" s="66">
        <f>D89+E89+F89-G89</f>
        <v>7298</v>
      </c>
      <c r="I89" s="77">
        <f>[33]账单!$E$16</f>
        <v>3434</v>
      </c>
      <c r="J89" s="64">
        <f t="shared" si="35"/>
        <v>0</v>
      </c>
      <c r="K89" s="80"/>
    </row>
    <row r="90" customHeight="1" spans="1:11">
      <c r="A90" s="67">
        <v>43691</v>
      </c>
      <c r="B90" s="68"/>
      <c r="C90" s="68" t="s">
        <v>41</v>
      </c>
      <c r="D90" s="69">
        <f t="shared" si="34"/>
        <v>109</v>
      </c>
      <c r="E90" s="70">
        <v>10000</v>
      </c>
      <c r="F90" s="70"/>
      <c r="G90" s="71">
        <v>110</v>
      </c>
      <c r="H90" s="72">
        <f>D90+E90+F90-G90</f>
        <v>9999</v>
      </c>
      <c r="I90" s="81">
        <v>110</v>
      </c>
      <c r="J90" s="69">
        <f t="shared" si="35"/>
        <v>0</v>
      </c>
      <c r="K90" s="82" t="s">
        <v>50</v>
      </c>
    </row>
    <row r="91" customHeight="1" spans="1:11">
      <c r="A91" s="99" t="s">
        <v>0</v>
      </c>
      <c r="B91" s="60" t="s">
        <v>1</v>
      </c>
      <c r="C91" s="60" t="s">
        <v>2</v>
      </c>
      <c r="D91" s="59" t="s">
        <v>3</v>
      </c>
      <c r="E91" s="60" t="s">
        <v>4</v>
      </c>
      <c r="F91" s="60" t="s">
        <v>5</v>
      </c>
      <c r="G91" s="61" t="s">
        <v>6</v>
      </c>
      <c r="H91" s="62" t="s">
        <v>7</v>
      </c>
      <c r="I91" s="75" t="s">
        <v>8</v>
      </c>
      <c r="J91" s="59" t="s">
        <v>9</v>
      </c>
      <c r="K91" s="100" t="s">
        <v>10</v>
      </c>
    </row>
    <row r="92" customHeight="1" spans="1:11">
      <c r="A92" s="63">
        <v>43692</v>
      </c>
      <c r="B92" s="8" t="s">
        <v>11</v>
      </c>
      <c r="C92" s="8" t="s">
        <v>12</v>
      </c>
      <c r="D92" s="64">
        <f t="shared" ref="D92:D97" si="36">H85</f>
        <v>9544.7</v>
      </c>
      <c r="E92" s="6"/>
      <c r="F92" s="6"/>
      <c r="G92" s="65">
        <v>1537</v>
      </c>
      <c r="H92" s="66">
        <f t="shared" ref="H92:H95" si="37">D92-G92+E92+F92</f>
        <v>8007.7</v>
      </c>
      <c r="I92" s="77">
        <f>[34]对账!$B$79</f>
        <v>1537</v>
      </c>
      <c r="J92" s="64">
        <f t="shared" ref="J92:J97" si="38">G92-I92</f>
        <v>0</v>
      </c>
      <c r="K92" s="80"/>
    </row>
    <row r="93" customHeight="1" spans="1:11">
      <c r="A93" s="63">
        <v>43692</v>
      </c>
      <c r="B93" s="8" t="s">
        <v>15</v>
      </c>
      <c r="C93" s="8" t="s">
        <v>16</v>
      </c>
      <c r="D93" s="64">
        <f t="shared" si="36"/>
        <v>3528</v>
      </c>
      <c r="E93" s="6"/>
      <c r="F93" s="6"/>
      <c r="G93" s="65">
        <v>1530</v>
      </c>
      <c r="H93" s="66">
        <f t="shared" si="37"/>
        <v>1998</v>
      </c>
      <c r="I93" s="77">
        <f>[35]好评返现对账!$B$60</f>
        <v>1486</v>
      </c>
      <c r="J93" s="64">
        <f t="shared" si="38"/>
        <v>44</v>
      </c>
      <c r="K93" s="80" t="s">
        <v>51</v>
      </c>
    </row>
    <row r="94" customHeight="1" spans="1:11">
      <c r="A94" s="63">
        <v>43692</v>
      </c>
      <c r="B94" s="8" t="s">
        <v>31</v>
      </c>
      <c r="C94" s="8" t="s">
        <v>19</v>
      </c>
      <c r="D94" s="64">
        <f t="shared" si="36"/>
        <v>4146.5</v>
      </c>
      <c r="E94" s="6"/>
      <c r="F94" s="6"/>
      <c r="G94" s="65">
        <v>0</v>
      </c>
      <c r="H94" s="66">
        <f t="shared" si="37"/>
        <v>4146.5</v>
      </c>
      <c r="I94" s="77">
        <v>0</v>
      </c>
      <c r="J94" s="64">
        <f t="shared" si="38"/>
        <v>0</v>
      </c>
      <c r="K94" s="101"/>
    </row>
    <row r="95" customHeight="1" spans="1:11">
      <c r="A95" s="63">
        <v>43692</v>
      </c>
      <c r="B95" s="8" t="s">
        <v>18</v>
      </c>
      <c r="C95" s="8" t="s">
        <v>20</v>
      </c>
      <c r="D95" s="64">
        <f t="shared" si="36"/>
        <v>11002</v>
      </c>
      <c r="E95" s="6"/>
      <c r="F95" s="6"/>
      <c r="G95" s="65">
        <v>4313</v>
      </c>
      <c r="H95" s="66">
        <f t="shared" si="37"/>
        <v>6689</v>
      </c>
      <c r="I95" s="77">
        <f>[32]账单!$E$18</f>
        <v>4313</v>
      </c>
      <c r="J95" s="64">
        <f t="shared" si="38"/>
        <v>0</v>
      </c>
      <c r="K95" s="80"/>
    </row>
    <row r="96" customHeight="1" spans="1:11">
      <c r="A96" s="63">
        <v>43692</v>
      </c>
      <c r="B96" s="8" t="s">
        <v>18</v>
      </c>
      <c r="C96" s="8" t="s">
        <v>40</v>
      </c>
      <c r="D96" s="64">
        <f t="shared" si="36"/>
        <v>7298</v>
      </c>
      <c r="E96" s="6"/>
      <c r="F96" s="6"/>
      <c r="G96" s="65">
        <v>1010</v>
      </c>
      <c r="H96" s="66">
        <f>D96+E96+F96-G96</f>
        <v>6288</v>
      </c>
      <c r="I96" s="77">
        <f>[33]账单!$E$17</f>
        <v>1010</v>
      </c>
      <c r="J96" s="64">
        <f t="shared" si="38"/>
        <v>0</v>
      </c>
      <c r="K96" s="80"/>
    </row>
    <row r="97" customHeight="1" spans="1:11">
      <c r="A97" s="67">
        <v>43692</v>
      </c>
      <c r="B97" s="68"/>
      <c r="C97" s="68" t="s">
        <v>41</v>
      </c>
      <c r="D97" s="69">
        <f t="shared" si="36"/>
        <v>9999</v>
      </c>
      <c r="E97" s="70"/>
      <c r="F97" s="70"/>
      <c r="G97" s="71">
        <v>2248</v>
      </c>
      <c r="H97" s="72">
        <f>D97+E97+F97-G97</f>
        <v>7751</v>
      </c>
      <c r="I97" s="81">
        <f>[35]晓杰微信对账!$H$11</f>
        <v>2292</v>
      </c>
      <c r="J97" s="69">
        <f t="shared" si="38"/>
        <v>-44</v>
      </c>
      <c r="K97" s="82" t="s">
        <v>52</v>
      </c>
    </row>
    <row r="98" customHeight="1" spans="1:11">
      <c r="A98" s="99" t="s">
        <v>0</v>
      </c>
      <c r="B98" s="60" t="s">
        <v>1</v>
      </c>
      <c r="C98" s="60" t="s">
        <v>2</v>
      </c>
      <c r="D98" s="59" t="s">
        <v>3</v>
      </c>
      <c r="E98" s="60" t="s">
        <v>4</v>
      </c>
      <c r="F98" s="60" t="s">
        <v>5</v>
      </c>
      <c r="G98" s="61" t="s">
        <v>6</v>
      </c>
      <c r="H98" s="62" t="s">
        <v>7</v>
      </c>
      <c r="I98" s="75" t="s">
        <v>8</v>
      </c>
      <c r="J98" s="59" t="s">
        <v>9</v>
      </c>
      <c r="K98" s="100" t="s">
        <v>10</v>
      </c>
    </row>
    <row r="99" customHeight="1" spans="1:11">
      <c r="A99" s="63">
        <v>43693</v>
      </c>
      <c r="B99" s="8" t="s">
        <v>11</v>
      </c>
      <c r="C99" s="8" t="s">
        <v>12</v>
      </c>
      <c r="D99" s="64">
        <f t="shared" ref="D99:D104" si="39">H92</f>
        <v>8007.7</v>
      </c>
      <c r="E99" s="6"/>
      <c r="F99" s="6"/>
      <c r="G99" s="65">
        <v>677</v>
      </c>
      <c r="H99" s="66">
        <f t="shared" ref="H99:H102" si="40">D99-G99+E99+F99</f>
        <v>7330.7</v>
      </c>
      <c r="I99" s="77">
        <f>[34]对账!$B$80</f>
        <v>687</v>
      </c>
      <c r="J99" s="64">
        <f t="shared" ref="J99:J104" si="41">G99-I99</f>
        <v>-10</v>
      </c>
      <c r="K99" s="80"/>
    </row>
    <row r="100" customHeight="1" spans="1:11">
      <c r="A100" s="63">
        <v>43693</v>
      </c>
      <c r="B100" s="8" t="s">
        <v>15</v>
      </c>
      <c r="C100" s="8" t="s">
        <v>16</v>
      </c>
      <c r="D100" s="64">
        <f t="shared" si="39"/>
        <v>1998</v>
      </c>
      <c r="E100" s="6"/>
      <c r="F100" s="6"/>
      <c r="G100" s="65">
        <v>85</v>
      </c>
      <c r="H100" s="66">
        <f t="shared" si="40"/>
        <v>1913</v>
      </c>
      <c r="I100" s="77">
        <f>[35]好评返现对账!$B$61</f>
        <v>85</v>
      </c>
      <c r="J100" s="64">
        <f t="shared" si="41"/>
        <v>0</v>
      </c>
      <c r="K100" s="80"/>
    </row>
    <row r="101" customHeight="1" spans="1:11">
      <c r="A101" s="63">
        <v>43693</v>
      </c>
      <c r="B101" s="8" t="s">
        <v>31</v>
      </c>
      <c r="C101" s="8" t="s">
        <v>19</v>
      </c>
      <c r="D101" s="64">
        <f t="shared" si="39"/>
        <v>4146.5</v>
      </c>
      <c r="E101" s="6"/>
      <c r="F101" s="6"/>
      <c r="G101" s="65">
        <v>3447</v>
      </c>
      <c r="H101" s="66">
        <f t="shared" si="40"/>
        <v>699.5</v>
      </c>
      <c r="I101" s="77">
        <f>[31]对账!$B$53</f>
        <v>3619</v>
      </c>
      <c r="J101" s="64">
        <f t="shared" si="41"/>
        <v>-172</v>
      </c>
      <c r="K101" s="101" t="s">
        <v>53</v>
      </c>
    </row>
    <row r="102" customHeight="1" spans="1:11">
      <c r="A102" s="63">
        <v>43693</v>
      </c>
      <c r="B102" s="8" t="s">
        <v>18</v>
      </c>
      <c r="C102" s="8" t="s">
        <v>20</v>
      </c>
      <c r="D102" s="64">
        <f t="shared" si="39"/>
        <v>6689</v>
      </c>
      <c r="E102" s="6"/>
      <c r="F102" s="6"/>
      <c r="G102" s="65">
        <v>5383</v>
      </c>
      <c r="H102" s="66">
        <f t="shared" si="40"/>
        <v>1306</v>
      </c>
      <c r="I102" s="77">
        <f>[32]账单!$E$19</f>
        <v>5373</v>
      </c>
      <c r="J102" s="64">
        <f t="shared" si="41"/>
        <v>10</v>
      </c>
      <c r="K102" s="80" t="s">
        <v>54</v>
      </c>
    </row>
    <row r="103" customHeight="1" spans="1:11">
      <c r="A103" s="63">
        <v>43693</v>
      </c>
      <c r="B103" s="8" t="s">
        <v>18</v>
      </c>
      <c r="C103" s="8" t="s">
        <v>40</v>
      </c>
      <c r="D103" s="64">
        <f t="shared" si="39"/>
        <v>6288</v>
      </c>
      <c r="E103" s="6"/>
      <c r="F103" s="6"/>
      <c r="G103" s="65">
        <v>385</v>
      </c>
      <c r="H103" s="66">
        <f>D103+E103+F103-G103</f>
        <v>5903</v>
      </c>
      <c r="I103" s="77">
        <f>[33]账单!$E$18</f>
        <v>385</v>
      </c>
      <c r="J103" s="64">
        <f t="shared" si="41"/>
        <v>0</v>
      </c>
      <c r="K103" s="80"/>
    </row>
    <row r="104" customHeight="1" spans="1:11">
      <c r="A104" s="67">
        <v>43693</v>
      </c>
      <c r="B104" s="68"/>
      <c r="C104" s="68" t="s">
        <v>41</v>
      </c>
      <c r="D104" s="69">
        <f t="shared" si="39"/>
        <v>7751</v>
      </c>
      <c r="E104" s="70"/>
      <c r="F104" s="70"/>
      <c r="G104" s="71">
        <v>5</v>
      </c>
      <c r="H104" s="72">
        <f>D104+E104+F104-G104</f>
        <v>7746</v>
      </c>
      <c r="I104" s="81">
        <f>[35]晓杰微信对账!$H$12</f>
        <v>5</v>
      </c>
      <c r="J104" s="69">
        <f t="shared" si="41"/>
        <v>0</v>
      </c>
      <c r="K104" s="82"/>
    </row>
    <row r="105" customHeight="1" spans="1:11">
      <c r="A105" s="99" t="s">
        <v>0</v>
      </c>
      <c r="B105" s="60" t="s">
        <v>1</v>
      </c>
      <c r="C105" s="60" t="s">
        <v>2</v>
      </c>
      <c r="D105" s="59" t="s">
        <v>3</v>
      </c>
      <c r="E105" s="60" t="s">
        <v>4</v>
      </c>
      <c r="F105" s="60" t="s">
        <v>5</v>
      </c>
      <c r="G105" s="61" t="s">
        <v>6</v>
      </c>
      <c r="H105" s="62" t="s">
        <v>7</v>
      </c>
      <c r="I105" s="75" t="s">
        <v>8</v>
      </c>
      <c r="J105" s="59" t="s">
        <v>9</v>
      </c>
      <c r="K105" s="100" t="s">
        <v>10</v>
      </c>
    </row>
    <row r="106" customHeight="1" spans="1:11">
      <c r="A106" s="63">
        <v>43694</v>
      </c>
      <c r="B106" s="8" t="s">
        <v>11</v>
      </c>
      <c r="C106" s="8" t="s">
        <v>12</v>
      </c>
      <c r="D106" s="64">
        <f t="shared" ref="D106:D111" si="42">H99</f>
        <v>7330.7</v>
      </c>
      <c r="E106" s="6"/>
      <c r="F106" s="6"/>
      <c r="G106" s="65">
        <v>212</v>
      </c>
      <c r="H106" s="66">
        <f t="shared" ref="H106:H109" si="43">D106-G106+E106+F106</f>
        <v>7118.7</v>
      </c>
      <c r="I106" s="77">
        <f>[40]对账!$B$81</f>
        <v>217</v>
      </c>
      <c r="J106" s="64">
        <f t="shared" ref="J106:J111" si="44">G106-I106</f>
        <v>-5</v>
      </c>
      <c r="K106" s="80"/>
    </row>
    <row r="107" customHeight="1" spans="1:11">
      <c r="A107" s="63">
        <v>43694</v>
      </c>
      <c r="B107" s="8" t="s">
        <v>15</v>
      </c>
      <c r="C107" s="8" t="s">
        <v>16</v>
      </c>
      <c r="D107" s="64">
        <f t="shared" si="42"/>
        <v>1913</v>
      </c>
      <c r="E107" s="6"/>
      <c r="F107" s="6"/>
      <c r="G107" s="65">
        <v>0</v>
      </c>
      <c r="H107" s="66">
        <f t="shared" si="43"/>
        <v>1913</v>
      </c>
      <c r="I107" s="77">
        <v>0</v>
      </c>
      <c r="J107" s="64">
        <f t="shared" si="44"/>
        <v>0</v>
      </c>
      <c r="K107" s="80"/>
    </row>
    <row r="108" customHeight="1" spans="1:11">
      <c r="A108" s="63">
        <v>43694</v>
      </c>
      <c r="B108" s="8" t="s">
        <v>31</v>
      </c>
      <c r="C108" s="8" t="s">
        <v>19</v>
      </c>
      <c r="D108" s="64">
        <f t="shared" si="42"/>
        <v>699.5</v>
      </c>
      <c r="E108" s="6">
        <v>10000</v>
      </c>
      <c r="F108" s="6"/>
      <c r="G108" s="65">
        <v>3901</v>
      </c>
      <c r="H108" s="66">
        <f t="shared" si="43"/>
        <v>6798.5</v>
      </c>
      <c r="I108" s="77">
        <f>[36]对账!$B$54</f>
        <v>3901</v>
      </c>
      <c r="J108" s="64">
        <f t="shared" si="44"/>
        <v>0</v>
      </c>
      <c r="K108" s="101"/>
    </row>
    <row r="109" customHeight="1" spans="1:11">
      <c r="A109" s="63">
        <v>43694</v>
      </c>
      <c r="B109" s="8" t="s">
        <v>18</v>
      </c>
      <c r="C109" s="8" t="s">
        <v>20</v>
      </c>
      <c r="D109" s="64">
        <f t="shared" si="42"/>
        <v>1306</v>
      </c>
      <c r="E109" s="6">
        <v>10000</v>
      </c>
      <c r="F109" s="6"/>
      <c r="G109" s="65">
        <v>2174</v>
      </c>
      <c r="H109" s="66">
        <f t="shared" si="43"/>
        <v>9132</v>
      </c>
      <c r="I109" s="77">
        <f>[38]账单!$E$20</f>
        <v>2174</v>
      </c>
      <c r="J109" s="64">
        <f t="shared" si="44"/>
        <v>0</v>
      </c>
      <c r="K109" s="80"/>
    </row>
    <row r="110" customHeight="1" spans="1:11">
      <c r="A110" s="63">
        <v>43694</v>
      </c>
      <c r="B110" s="8" t="s">
        <v>18</v>
      </c>
      <c r="C110" s="8" t="s">
        <v>40</v>
      </c>
      <c r="D110" s="64">
        <f t="shared" si="42"/>
        <v>5903</v>
      </c>
      <c r="E110" s="6"/>
      <c r="F110" s="6"/>
      <c r="G110" s="65">
        <v>3272</v>
      </c>
      <c r="H110" s="66">
        <f>D110+E110+F110-G110</f>
        <v>2631</v>
      </c>
      <c r="I110" s="77">
        <f>[39]账单!$E$19</f>
        <v>3272</v>
      </c>
      <c r="J110" s="64">
        <f t="shared" si="44"/>
        <v>0</v>
      </c>
      <c r="K110" s="80"/>
    </row>
    <row r="111" customHeight="1" spans="1:11">
      <c r="A111" s="67">
        <v>43694</v>
      </c>
      <c r="B111" s="68"/>
      <c r="C111" s="68" t="s">
        <v>41</v>
      </c>
      <c r="D111" s="69">
        <f t="shared" si="42"/>
        <v>7746</v>
      </c>
      <c r="E111" s="70"/>
      <c r="F111" s="70"/>
      <c r="G111" s="71">
        <v>0</v>
      </c>
      <c r="H111" s="72">
        <f>D111+E111+F111-G111</f>
        <v>7746</v>
      </c>
      <c r="I111" s="81">
        <v>0</v>
      </c>
      <c r="J111" s="69">
        <f t="shared" si="44"/>
        <v>0</v>
      </c>
      <c r="K111" s="82"/>
    </row>
    <row r="112" customHeight="1" spans="1:11">
      <c r="A112" s="99" t="s">
        <v>0</v>
      </c>
      <c r="B112" s="60" t="s">
        <v>1</v>
      </c>
      <c r="C112" s="60" t="s">
        <v>2</v>
      </c>
      <c r="D112" s="59" t="s">
        <v>3</v>
      </c>
      <c r="E112" s="60" t="s">
        <v>4</v>
      </c>
      <c r="F112" s="60" t="s">
        <v>5</v>
      </c>
      <c r="G112" s="61" t="s">
        <v>6</v>
      </c>
      <c r="H112" s="62" t="s">
        <v>7</v>
      </c>
      <c r="I112" s="75" t="s">
        <v>8</v>
      </c>
      <c r="J112" s="59" t="s">
        <v>9</v>
      </c>
      <c r="K112" s="100" t="s">
        <v>10</v>
      </c>
    </row>
    <row r="113" customHeight="1" spans="1:11">
      <c r="A113" s="63">
        <v>43695</v>
      </c>
      <c r="B113" s="8" t="s">
        <v>11</v>
      </c>
      <c r="C113" s="8" t="s">
        <v>12</v>
      </c>
      <c r="D113" s="64">
        <f t="shared" ref="D113:D118" si="45">H106</f>
        <v>7118.7</v>
      </c>
      <c r="E113" s="6"/>
      <c r="F113" s="6">
        <v>4</v>
      </c>
      <c r="G113" s="65">
        <v>5</v>
      </c>
      <c r="H113" s="66">
        <f t="shared" ref="H113:H116" si="46">D113-G113+E113+F113</f>
        <v>7117.7</v>
      </c>
      <c r="I113" s="77">
        <f>[40]对账!$B$82</f>
        <v>5</v>
      </c>
      <c r="J113" s="64">
        <f t="shared" ref="J113:J118" si="47">G113-I113</f>
        <v>0</v>
      </c>
      <c r="K113" s="80"/>
    </row>
    <row r="114" customHeight="1" spans="1:11">
      <c r="A114" s="63">
        <v>43695</v>
      </c>
      <c r="B114" s="8" t="s">
        <v>15</v>
      </c>
      <c r="C114" s="8" t="s">
        <v>16</v>
      </c>
      <c r="D114" s="64">
        <f t="shared" si="45"/>
        <v>1913</v>
      </c>
      <c r="E114" s="6"/>
      <c r="F114" s="6"/>
      <c r="G114" s="65">
        <v>469</v>
      </c>
      <c r="H114" s="66">
        <f t="shared" si="46"/>
        <v>1444</v>
      </c>
      <c r="I114" s="77">
        <f>[37]好评返现对账!$B$62</f>
        <v>471</v>
      </c>
      <c r="J114" s="64">
        <f t="shared" si="47"/>
        <v>-2</v>
      </c>
      <c r="K114" s="80"/>
    </row>
    <row r="115" customHeight="1" spans="1:11">
      <c r="A115" s="63">
        <v>43695</v>
      </c>
      <c r="B115" s="8" t="s">
        <v>31</v>
      </c>
      <c r="C115" s="8" t="s">
        <v>19</v>
      </c>
      <c r="D115" s="64">
        <f t="shared" si="45"/>
        <v>6798.5</v>
      </c>
      <c r="E115" s="6"/>
      <c r="F115" s="6"/>
      <c r="G115" s="65">
        <v>3611</v>
      </c>
      <c r="H115" s="66">
        <f t="shared" si="46"/>
        <v>3187.5</v>
      </c>
      <c r="I115" s="77">
        <f>[36]对账!$B$55</f>
        <v>3581</v>
      </c>
      <c r="J115" s="64">
        <f t="shared" si="47"/>
        <v>30</v>
      </c>
      <c r="K115" s="101" t="s">
        <v>55</v>
      </c>
    </row>
    <row r="116" customHeight="1" spans="1:11">
      <c r="A116" s="63">
        <v>43695</v>
      </c>
      <c r="B116" s="8" t="s">
        <v>18</v>
      </c>
      <c r="C116" s="8" t="s">
        <v>20</v>
      </c>
      <c r="D116" s="64">
        <f t="shared" si="45"/>
        <v>9132</v>
      </c>
      <c r="E116" s="6"/>
      <c r="F116" s="6"/>
      <c r="G116" s="65">
        <f>3625+5</f>
        <v>3630</v>
      </c>
      <c r="H116" s="66">
        <f t="shared" si="46"/>
        <v>5502</v>
      </c>
      <c r="I116" s="77">
        <f>[38]账单!$E$21</f>
        <v>3625</v>
      </c>
      <c r="J116" s="64">
        <f t="shared" si="47"/>
        <v>5</v>
      </c>
      <c r="K116" s="80" t="s">
        <v>56</v>
      </c>
    </row>
    <row r="117" customHeight="1" spans="1:11">
      <c r="A117" s="63">
        <v>43695</v>
      </c>
      <c r="B117" s="8" t="s">
        <v>18</v>
      </c>
      <c r="C117" s="8" t="s">
        <v>40</v>
      </c>
      <c r="D117" s="64">
        <f t="shared" si="45"/>
        <v>2631</v>
      </c>
      <c r="E117" s="6"/>
      <c r="F117" s="6"/>
      <c r="G117" s="65">
        <f>887+4</f>
        <v>891</v>
      </c>
      <c r="H117" s="66">
        <f>D117+E117+F117-G117</f>
        <v>1740</v>
      </c>
      <c r="I117" s="77">
        <f>[39]账单!$E$20</f>
        <v>887</v>
      </c>
      <c r="J117" s="64">
        <f t="shared" si="47"/>
        <v>4</v>
      </c>
      <c r="K117" s="80" t="s">
        <v>57</v>
      </c>
    </row>
    <row r="118" customHeight="1" spans="1:11">
      <c r="A118" s="67">
        <v>43695</v>
      </c>
      <c r="B118" s="68"/>
      <c r="C118" s="68" t="s">
        <v>41</v>
      </c>
      <c r="D118" s="69">
        <f t="shared" si="45"/>
        <v>7746</v>
      </c>
      <c r="E118" s="70"/>
      <c r="F118" s="70"/>
      <c r="G118" s="71">
        <v>226</v>
      </c>
      <c r="H118" s="72">
        <f>D118+E118+F118-G118</f>
        <v>7520</v>
      </c>
      <c r="I118" s="81">
        <f>[37]晓杰微信对账!$H$13</f>
        <v>208</v>
      </c>
      <c r="J118" s="69">
        <f t="shared" si="47"/>
        <v>18</v>
      </c>
      <c r="K118" s="82"/>
    </row>
    <row r="119" customHeight="1" spans="1:11">
      <c r="A119" s="99" t="s">
        <v>0</v>
      </c>
      <c r="B119" s="60" t="s">
        <v>1</v>
      </c>
      <c r="C119" s="60" t="s">
        <v>2</v>
      </c>
      <c r="D119" s="59" t="s">
        <v>3</v>
      </c>
      <c r="E119" s="60" t="s">
        <v>4</v>
      </c>
      <c r="F119" s="60" t="s">
        <v>5</v>
      </c>
      <c r="G119" s="61" t="s">
        <v>6</v>
      </c>
      <c r="H119" s="62" t="s">
        <v>7</v>
      </c>
      <c r="I119" s="75" t="s">
        <v>8</v>
      </c>
      <c r="J119" s="59" t="s">
        <v>9</v>
      </c>
      <c r="K119" s="100" t="s">
        <v>10</v>
      </c>
    </row>
    <row r="120" customHeight="1" spans="1:11">
      <c r="A120" s="63">
        <v>43696</v>
      </c>
      <c r="B120" s="8" t="s">
        <v>11</v>
      </c>
      <c r="C120" s="8" t="s">
        <v>12</v>
      </c>
      <c r="D120" s="64">
        <f t="shared" ref="D120:D125" si="48">H113</f>
        <v>7117.7</v>
      </c>
      <c r="E120" s="6"/>
      <c r="F120" s="6"/>
      <c r="G120" s="65">
        <v>202</v>
      </c>
      <c r="H120" s="66">
        <f t="shared" ref="H120:H123" si="49">D120-G120+E120+F120</f>
        <v>6915.7</v>
      </c>
      <c r="I120" s="77">
        <f>[40]对账!$B$83</f>
        <v>250.9</v>
      </c>
      <c r="J120" s="64">
        <f t="shared" ref="J120:J125" si="50">G120-I120</f>
        <v>-48.9</v>
      </c>
      <c r="K120" s="80"/>
    </row>
    <row r="121" customHeight="1" spans="1:11">
      <c r="A121" s="63">
        <v>43696</v>
      </c>
      <c r="B121" s="8" t="s">
        <v>15</v>
      </c>
      <c r="C121" s="8" t="s">
        <v>16</v>
      </c>
      <c r="D121" s="64">
        <f t="shared" si="48"/>
        <v>1444</v>
      </c>
      <c r="E121" s="6"/>
      <c r="F121" s="6"/>
      <c r="G121" s="65">
        <v>75</v>
      </c>
      <c r="H121" s="66">
        <f t="shared" si="49"/>
        <v>1369</v>
      </c>
      <c r="I121" s="77">
        <f>[37]好评返现对账!$B$63</f>
        <v>75</v>
      </c>
      <c r="J121" s="64">
        <f t="shared" si="50"/>
        <v>0</v>
      </c>
      <c r="K121" s="80"/>
    </row>
    <row r="122" customHeight="1" spans="1:11">
      <c r="A122" s="63">
        <v>43696</v>
      </c>
      <c r="B122" s="8" t="s">
        <v>31</v>
      </c>
      <c r="C122" s="8" t="s">
        <v>19</v>
      </c>
      <c r="D122" s="64">
        <f t="shared" si="48"/>
        <v>3187.5</v>
      </c>
      <c r="E122" s="6">
        <v>10000</v>
      </c>
      <c r="F122" s="6"/>
      <c r="G122" s="65">
        <v>3696</v>
      </c>
      <c r="H122" s="66">
        <f t="shared" si="49"/>
        <v>9491.5</v>
      </c>
      <c r="I122" s="77">
        <f>[36]对账!$B$56</f>
        <v>3681</v>
      </c>
      <c r="J122" s="64">
        <f t="shared" si="50"/>
        <v>15</v>
      </c>
      <c r="K122" s="101"/>
    </row>
    <row r="123" customHeight="1" spans="1:11">
      <c r="A123" s="63">
        <v>43696</v>
      </c>
      <c r="B123" s="8" t="s">
        <v>18</v>
      </c>
      <c r="C123" s="8" t="s">
        <v>20</v>
      </c>
      <c r="D123" s="64">
        <f t="shared" si="48"/>
        <v>5502</v>
      </c>
      <c r="E123" s="6">
        <v>10000</v>
      </c>
      <c r="F123" s="6"/>
      <c r="G123" s="65">
        <f>4034+5</f>
        <v>4039</v>
      </c>
      <c r="H123" s="66">
        <f t="shared" si="49"/>
        <v>11463</v>
      </c>
      <c r="I123" s="77">
        <f>[38]账单!$E$22</f>
        <v>4034</v>
      </c>
      <c r="J123" s="64">
        <f t="shared" si="50"/>
        <v>5</v>
      </c>
      <c r="K123" s="80"/>
    </row>
    <row r="124" customHeight="1" spans="1:11">
      <c r="A124" s="63">
        <v>43696</v>
      </c>
      <c r="B124" s="8" t="s">
        <v>18</v>
      </c>
      <c r="C124" s="8" t="s">
        <v>40</v>
      </c>
      <c r="D124" s="64">
        <f t="shared" si="48"/>
        <v>1740</v>
      </c>
      <c r="E124" s="6">
        <v>10000</v>
      </c>
      <c r="F124" s="6"/>
      <c r="G124" s="65">
        <v>813</v>
      </c>
      <c r="H124" s="66">
        <f>D124+E124+F124-G124</f>
        <v>10927</v>
      </c>
      <c r="I124" s="77">
        <f>[39]账单!$E$21</f>
        <v>813</v>
      </c>
      <c r="J124" s="64">
        <f t="shared" si="50"/>
        <v>0</v>
      </c>
      <c r="K124" s="80"/>
    </row>
    <row r="125" customHeight="1" spans="1:11">
      <c r="A125" s="67">
        <v>43696</v>
      </c>
      <c r="B125" s="68"/>
      <c r="C125" s="68" t="s">
        <v>41</v>
      </c>
      <c r="D125" s="69">
        <f t="shared" si="48"/>
        <v>7520</v>
      </c>
      <c r="E125" s="70"/>
      <c r="F125" s="70"/>
      <c r="G125" s="71">
        <v>99</v>
      </c>
      <c r="H125" s="72">
        <f>D125+E125+F125-G125</f>
        <v>7421</v>
      </c>
      <c r="I125" s="81">
        <f>[37]晓杰微信对账!$H$14</f>
        <v>94</v>
      </c>
      <c r="J125" s="69">
        <f t="shared" si="50"/>
        <v>5</v>
      </c>
      <c r="K125" s="82"/>
    </row>
    <row r="126" customHeight="1" spans="1:11">
      <c r="A126" s="99" t="s">
        <v>0</v>
      </c>
      <c r="B126" s="60" t="s">
        <v>1</v>
      </c>
      <c r="C126" s="60" t="s">
        <v>2</v>
      </c>
      <c r="D126" s="59" t="s">
        <v>3</v>
      </c>
      <c r="E126" s="60" t="s">
        <v>4</v>
      </c>
      <c r="F126" s="60" t="s">
        <v>5</v>
      </c>
      <c r="G126" s="61" t="s">
        <v>6</v>
      </c>
      <c r="H126" s="62" t="s">
        <v>7</v>
      </c>
      <c r="I126" s="75" t="s">
        <v>8</v>
      </c>
      <c r="J126" s="59" t="s">
        <v>9</v>
      </c>
      <c r="K126" s="100" t="s">
        <v>10</v>
      </c>
    </row>
    <row r="127" customHeight="1" spans="1:11">
      <c r="A127" s="63">
        <v>43697</v>
      </c>
      <c r="B127" s="8" t="s">
        <v>11</v>
      </c>
      <c r="C127" s="8" t="s">
        <v>12</v>
      </c>
      <c r="D127" s="64">
        <f t="shared" ref="D127:D132" si="51">H120</f>
        <v>6915.7</v>
      </c>
      <c r="E127" s="6"/>
      <c r="F127" s="6"/>
      <c r="G127" s="65">
        <v>280</v>
      </c>
      <c r="H127" s="66">
        <f t="shared" ref="H127:H130" si="52">D127-G127+E127+F127</f>
        <v>6635.7</v>
      </c>
      <c r="I127" s="77">
        <f>[43]对账!$B$84</f>
        <v>280</v>
      </c>
      <c r="J127" s="64">
        <f t="shared" ref="J127:J132" si="53">G127-I127</f>
        <v>0</v>
      </c>
      <c r="K127" s="80"/>
    </row>
    <row r="128" customHeight="1" spans="1:11">
      <c r="A128" s="63">
        <v>43697</v>
      </c>
      <c r="B128" s="8" t="s">
        <v>15</v>
      </c>
      <c r="C128" s="8" t="s">
        <v>16</v>
      </c>
      <c r="D128" s="64">
        <f t="shared" si="51"/>
        <v>1369</v>
      </c>
      <c r="E128" s="6"/>
      <c r="F128" s="6"/>
      <c r="G128" s="65">
        <v>43</v>
      </c>
      <c r="H128" s="66">
        <f t="shared" si="52"/>
        <v>1326</v>
      </c>
      <c r="I128" s="77">
        <f>[41]好评返现对账!$B$64</f>
        <v>33</v>
      </c>
      <c r="J128" s="64">
        <f t="shared" si="53"/>
        <v>10</v>
      </c>
      <c r="K128" s="80"/>
    </row>
    <row r="129" customHeight="1" spans="1:11">
      <c r="A129" s="63">
        <v>43697</v>
      </c>
      <c r="B129" s="8" t="s">
        <v>31</v>
      </c>
      <c r="C129" s="8" t="s">
        <v>19</v>
      </c>
      <c r="D129" s="64">
        <f t="shared" si="51"/>
        <v>9491.5</v>
      </c>
      <c r="E129" s="6"/>
      <c r="F129" s="6"/>
      <c r="G129" s="65">
        <v>3757</v>
      </c>
      <c r="H129" s="66">
        <f t="shared" si="52"/>
        <v>5734.5</v>
      </c>
      <c r="I129" s="77">
        <f>[42]对账!$B$57</f>
        <v>3752</v>
      </c>
      <c r="J129" s="64">
        <f t="shared" si="53"/>
        <v>5</v>
      </c>
      <c r="K129" s="101"/>
    </row>
    <row r="130" customHeight="1" spans="1:11">
      <c r="A130" s="63">
        <v>43697</v>
      </c>
      <c r="B130" s="8" t="s">
        <v>18</v>
      </c>
      <c r="C130" s="8" t="s">
        <v>20</v>
      </c>
      <c r="D130" s="64">
        <f t="shared" si="51"/>
        <v>11463</v>
      </c>
      <c r="E130" s="6"/>
      <c r="F130" s="6"/>
      <c r="G130" s="65">
        <v>1897</v>
      </c>
      <c r="H130" s="66">
        <f t="shared" si="52"/>
        <v>9566</v>
      </c>
      <c r="I130" s="77">
        <f>[44]账单!$E$23</f>
        <v>1892</v>
      </c>
      <c r="J130" s="64">
        <f t="shared" si="53"/>
        <v>5</v>
      </c>
      <c r="K130" s="80" t="s">
        <v>56</v>
      </c>
    </row>
    <row r="131" customHeight="1" spans="1:11">
      <c r="A131" s="63">
        <v>43697</v>
      </c>
      <c r="B131" s="8" t="s">
        <v>18</v>
      </c>
      <c r="C131" s="8" t="s">
        <v>40</v>
      </c>
      <c r="D131" s="64">
        <f t="shared" si="51"/>
        <v>10927</v>
      </c>
      <c r="E131" s="6"/>
      <c r="F131" s="6"/>
      <c r="G131" s="65">
        <v>3172</v>
      </c>
      <c r="H131" s="66">
        <f>D131+E131+F131-G131</f>
        <v>7755</v>
      </c>
      <c r="I131" s="77">
        <f>[45]账单!$E$22</f>
        <v>3172</v>
      </c>
      <c r="J131" s="64">
        <f t="shared" si="53"/>
        <v>0</v>
      </c>
      <c r="K131" s="80"/>
    </row>
    <row r="132" customHeight="1" spans="1:11">
      <c r="A132" s="67">
        <v>43697</v>
      </c>
      <c r="B132" s="68"/>
      <c r="C132" s="68" t="s">
        <v>41</v>
      </c>
      <c r="D132" s="69">
        <f t="shared" si="51"/>
        <v>7421</v>
      </c>
      <c r="E132" s="70"/>
      <c r="F132" s="70"/>
      <c r="G132" s="71">
        <v>25</v>
      </c>
      <c r="H132" s="72">
        <f>D132+E132+F132-G132</f>
        <v>7396</v>
      </c>
      <c r="I132" s="81">
        <f>[41]晓杰微信对账!$H$15</f>
        <v>25</v>
      </c>
      <c r="J132" s="69">
        <f t="shared" si="53"/>
        <v>0</v>
      </c>
      <c r="K132" s="82"/>
    </row>
    <row r="133" customHeight="1" spans="1:11">
      <c r="A133" s="99" t="s">
        <v>0</v>
      </c>
      <c r="B133" s="60" t="s">
        <v>1</v>
      </c>
      <c r="C133" s="60" t="s">
        <v>2</v>
      </c>
      <c r="D133" s="59" t="s">
        <v>3</v>
      </c>
      <c r="E133" s="60" t="s">
        <v>4</v>
      </c>
      <c r="F133" s="60" t="s">
        <v>5</v>
      </c>
      <c r="G133" s="61" t="s">
        <v>6</v>
      </c>
      <c r="H133" s="62" t="s">
        <v>7</v>
      </c>
      <c r="I133" s="75" t="s">
        <v>8</v>
      </c>
      <c r="J133" s="59" t="s">
        <v>9</v>
      </c>
      <c r="K133" s="100" t="s">
        <v>10</v>
      </c>
    </row>
    <row r="134" customHeight="1" spans="1:11">
      <c r="A134" s="63">
        <v>43698</v>
      </c>
      <c r="B134" s="8" t="s">
        <v>11</v>
      </c>
      <c r="C134" s="8" t="s">
        <v>12</v>
      </c>
      <c r="D134" s="64">
        <f t="shared" ref="D134:D139" si="54">H127</f>
        <v>6635.7</v>
      </c>
      <c r="E134" s="6"/>
      <c r="F134" s="6"/>
      <c r="G134" s="65">
        <v>50</v>
      </c>
      <c r="H134" s="66">
        <f t="shared" ref="H134:H137" si="55">D134-G134+E134+F134</f>
        <v>6585.7</v>
      </c>
      <c r="I134" s="77">
        <f>[43]对账!$B$85</f>
        <v>55</v>
      </c>
      <c r="J134" s="64">
        <f t="shared" ref="J134:J139" si="56">G134-I134</f>
        <v>-5</v>
      </c>
      <c r="K134" s="80"/>
    </row>
    <row r="135" customHeight="1" spans="1:11">
      <c r="A135" s="63">
        <v>43698</v>
      </c>
      <c r="B135" s="8" t="s">
        <v>15</v>
      </c>
      <c r="C135" s="8" t="s">
        <v>16</v>
      </c>
      <c r="D135" s="64">
        <f t="shared" si="54"/>
        <v>1326</v>
      </c>
      <c r="E135" s="6"/>
      <c r="F135" s="6"/>
      <c r="G135" s="65">
        <v>25</v>
      </c>
      <c r="H135" s="66">
        <f t="shared" si="55"/>
        <v>1301</v>
      </c>
      <c r="I135" s="77">
        <f>[41]好评返现对账!$B$65</f>
        <v>20</v>
      </c>
      <c r="J135" s="64">
        <f t="shared" si="56"/>
        <v>5</v>
      </c>
      <c r="K135" s="80"/>
    </row>
    <row r="136" customHeight="1" spans="1:11">
      <c r="A136" s="63">
        <v>43698</v>
      </c>
      <c r="B136" s="8" t="s">
        <v>31</v>
      </c>
      <c r="C136" s="8" t="s">
        <v>19</v>
      </c>
      <c r="D136" s="64">
        <f t="shared" si="54"/>
        <v>5734.5</v>
      </c>
      <c r="E136" s="6"/>
      <c r="F136" s="6"/>
      <c r="G136" s="65">
        <v>3778</v>
      </c>
      <c r="H136" s="66">
        <f t="shared" si="55"/>
        <v>1956.5</v>
      </c>
      <c r="I136" s="77">
        <f>[42]对账!$B$58</f>
        <v>3823</v>
      </c>
      <c r="J136" s="64">
        <f t="shared" si="56"/>
        <v>-45</v>
      </c>
      <c r="K136" s="101" t="s">
        <v>58</v>
      </c>
    </row>
    <row r="137" customHeight="1" spans="1:11">
      <c r="A137" s="63">
        <v>43698</v>
      </c>
      <c r="B137" s="8" t="s">
        <v>18</v>
      </c>
      <c r="C137" s="8" t="s">
        <v>20</v>
      </c>
      <c r="D137" s="64">
        <f t="shared" si="54"/>
        <v>9566</v>
      </c>
      <c r="E137" s="6"/>
      <c r="F137" s="6"/>
      <c r="G137" s="65">
        <v>3405</v>
      </c>
      <c r="H137" s="66">
        <f t="shared" si="55"/>
        <v>6161</v>
      </c>
      <c r="I137" s="77">
        <f>[44]账单!$E$24</f>
        <v>3405</v>
      </c>
      <c r="J137" s="64">
        <f t="shared" si="56"/>
        <v>0</v>
      </c>
      <c r="K137" s="80"/>
    </row>
    <row r="138" customHeight="1" spans="1:11">
      <c r="A138" s="63">
        <v>43698</v>
      </c>
      <c r="B138" s="8" t="s">
        <v>18</v>
      </c>
      <c r="C138" s="8" t="s">
        <v>40</v>
      </c>
      <c r="D138" s="64">
        <f t="shared" si="54"/>
        <v>7755</v>
      </c>
      <c r="E138" s="6"/>
      <c r="F138" s="6"/>
      <c r="G138" s="65">
        <v>1688</v>
      </c>
      <c r="H138" s="66">
        <f>D138+E138+F138-G138</f>
        <v>6067</v>
      </c>
      <c r="I138" s="77">
        <f>[45]账单!$E$23</f>
        <v>1688</v>
      </c>
      <c r="J138" s="64">
        <f t="shared" si="56"/>
        <v>0</v>
      </c>
      <c r="K138" s="80"/>
    </row>
    <row r="139" customHeight="1" spans="1:11">
      <c r="A139" s="67">
        <v>43698</v>
      </c>
      <c r="B139" s="68"/>
      <c r="C139" s="68" t="s">
        <v>41</v>
      </c>
      <c r="D139" s="69">
        <f t="shared" si="54"/>
        <v>7396</v>
      </c>
      <c r="E139" s="70"/>
      <c r="F139" s="70"/>
      <c r="G139" s="71">
        <v>35</v>
      </c>
      <c r="H139" s="72">
        <f>D139+E139+F139-G139</f>
        <v>7361</v>
      </c>
      <c r="I139" s="81">
        <f>[41]晓杰微信对账!$H$16</f>
        <v>30</v>
      </c>
      <c r="J139" s="69">
        <f t="shared" si="56"/>
        <v>5</v>
      </c>
      <c r="K139" s="82"/>
    </row>
    <row r="140" customHeight="1" spans="1:11">
      <c r="A140" s="99" t="s">
        <v>0</v>
      </c>
      <c r="B140" s="60" t="s">
        <v>1</v>
      </c>
      <c r="C140" s="60" t="s">
        <v>2</v>
      </c>
      <c r="D140" s="59" t="s">
        <v>3</v>
      </c>
      <c r="E140" s="60" t="s">
        <v>4</v>
      </c>
      <c r="F140" s="60" t="s">
        <v>5</v>
      </c>
      <c r="G140" s="61" t="s">
        <v>6</v>
      </c>
      <c r="H140" s="62" t="s">
        <v>7</v>
      </c>
      <c r="I140" s="75" t="s">
        <v>8</v>
      </c>
      <c r="J140" s="59" t="s">
        <v>9</v>
      </c>
      <c r="K140" s="100" t="s">
        <v>10</v>
      </c>
    </row>
    <row r="141" customHeight="1" spans="1:11">
      <c r="A141" s="63">
        <v>43699</v>
      </c>
      <c r="B141" s="8" t="s">
        <v>11</v>
      </c>
      <c r="C141" s="8" t="s">
        <v>12</v>
      </c>
      <c r="D141" s="64">
        <f t="shared" ref="D141:D146" si="57">H134</f>
        <v>6585.7</v>
      </c>
      <c r="E141" s="6"/>
      <c r="F141" s="6"/>
      <c r="G141" s="65">
        <v>802</v>
      </c>
      <c r="H141" s="66">
        <f t="shared" ref="H141:H144" si="58">D141-G141+E141+F141</f>
        <v>5783.7</v>
      </c>
      <c r="I141" s="77">
        <f>[43]对账!$B$86</f>
        <v>752.9</v>
      </c>
      <c r="J141" s="64">
        <f t="shared" ref="J141:J146" si="59">G141-I141</f>
        <v>49.1</v>
      </c>
      <c r="K141" s="80" t="s">
        <v>59</v>
      </c>
    </row>
    <row r="142" customHeight="1" spans="1:11">
      <c r="A142" s="63">
        <v>43699</v>
      </c>
      <c r="B142" s="8" t="s">
        <v>15</v>
      </c>
      <c r="C142" s="8" t="s">
        <v>16</v>
      </c>
      <c r="D142" s="64">
        <f t="shared" si="57"/>
        <v>1301</v>
      </c>
      <c r="E142" s="6"/>
      <c r="F142" s="6"/>
      <c r="G142" s="65">
        <v>40</v>
      </c>
      <c r="H142" s="66">
        <f t="shared" si="58"/>
        <v>1261</v>
      </c>
      <c r="I142" s="77">
        <f>[41]好评返现对账!$B$66</f>
        <v>40</v>
      </c>
      <c r="J142" s="64">
        <f t="shared" si="59"/>
        <v>0</v>
      </c>
      <c r="K142" s="80"/>
    </row>
    <row r="143" customHeight="1" spans="1:11">
      <c r="A143" s="63">
        <v>43699</v>
      </c>
      <c r="B143" s="8" t="s">
        <v>31</v>
      </c>
      <c r="C143" s="8" t="s">
        <v>19</v>
      </c>
      <c r="D143" s="64">
        <f t="shared" si="57"/>
        <v>1956.5</v>
      </c>
      <c r="E143" s="6">
        <v>10000</v>
      </c>
      <c r="F143" s="6">
        <v>5</v>
      </c>
      <c r="G143" s="65">
        <v>3507</v>
      </c>
      <c r="H143" s="66">
        <f t="shared" si="58"/>
        <v>8454.5</v>
      </c>
      <c r="I143" s="77">
        <f>[42]对账!$B$59</f>
        <v>3581</v>
      </c>
      <c r="J143" s="64">
        <f t="shared" si="59"/>
        <v>-74</v>
      </c>
      <c r="K143" s="101"/>
    </row>
    <row r="144" customHeight="1" spans="1:11">
      <c r="A144" s="63">
        <v>43699</v>
      </c>
      <c r="B144" s="8" t="s">
        <v>18</v>
      </c>
      <c r="C144" s="8" t="s">
        <v>20</v>
      </c>
      <c r="D144" s="64">
        <f t="shared" si="57"/>
        <v>6161</v>
      </c>
      <c r="E144" s="6"/>
      <c r="F144" s="6"/>
      <c r="G144" s="65">
        <v>4212</v>
      </c>
      <c r="H144" s="66">
        <f t="shared" si="58"/>
        <v>1949</v>
      </c>
      <c r="I144" s="77">
        <f>[44]账单!$E$25</f>
        <v>4211.9</v>
      </c>
      <c r="J144" s="64">
        <f t="shared" si="59"/>
        <v>0.100000000000364</v>
      </c>
      <c r="K144" s="80"/>
    </row>
    <row r="145" customHeight="1" spans="1:11">
      <c r="A145" s="63">
        <v>43699</v>
      </c>
      <c r="B145" s="8" t="s">
        <v>18</v>
      </c>
      <c r="C145" s="8" t="s">
        <v>40</v>
      </c>
      <c r="D145" s="64">
        <f t="shared" si="57"/>
        <v>6067</v>
      </c>
      <c r="E145" s="6"/>
      <c r="F145" s="6"/>
      <c r="G145" s="65">
        <v>272</v>
      </c>
      <c r="H145" s="66">
        <f>D145+E145+F145-G145</f>
        <v>5795</v>
      </c>
      <c r="I145" s="77">
        <f>[45]账单!$E$24</f>
        <v>272</v>
      </c>
      <c r="J145" s="64">
        <f t="shared" si="59"/>
        <v>0</v>
      </c>
      <c r="K145" s="80"/>
    </row>
    <row r="146" customHeight="1" spans="1:11">
      <c r="A146" s="67">
        <v>43699</v>
      </c>
      <c r="B146" s="68"/>
      <c r="C146" s="68" t="s">
        <v>41</v>
      </c>
      <c r="D146" s="69">
        <f t="shared" si="57"/>
        <v>7361</v>
      </c>
      <c r="E146" s="70"/>
      <c r="F146" s="70"/>
      <c r="G146" s="71">
        <v>25</v>
      </c>
      <c r="H146" s="72">
        <f>D146+E146+F146-G146</f>
        <v>7336</v>
      </c>
      <c r="I146" s="81">
        <v>25</v>
      </c>
      <c r="J146" s="69">
        <f t="shared" si="59"/>
        <v>0</v>
      </c>
      <c r="K146" s="82"/>
    </row>
    <row r="147" customHeight="1" spans="1:11">
      <c r="A147" s="99" t="s">
        <v>0</v>
      </c>
      <c r="B147" s="60" t="s">
        <v>1</v>
      </c>
      <c r="C147" s="60" t="s">
        <v>2</v>
      </c>
      <c r="D147" s="59" t="s">
        <v>3</v>
      </c>
      <c r="E147" s="60" t="s">
        <v>4</v>
      </c>
      <c r="F147" s="60" t="s">
        <v>5</v>
      </c>
      <c r="G147" s="61" t="s">
        <v>6</v>
      </c>
      <c r="H147" s="62" t="s">
        <v>7</v>
      </c>
      <c r="I147" s="75" t="s">
        <v>8</v>
      </c>
      <c r="J147" s="59" t="s">
        <v>9</v>
      </c>
      <c r="K147" s="100" t="s">
        <v>10</v>
      </c>
    </row>
    <row r="148" customHeight="1" spans="1:11">
      <c r="A148" s="63">
        <v>43700</v>
      </c>
      <c r="B148" s="8" t="s">
        <v>11</v>
      </c>
      <c r="C148" s="8" t="s">
        <v>12</v>
      </c>
      <c r="D148" s="64">
        <f t="shared" ref="D148:D153" si="60">H141</f>
        <v>5783.7</v>
      </c>
      <c r="E148" s="6"/>
      <c r="F148" s="6"/>
      <c r="G148" s="65">
        <v>419</v>
      </c>
      <c r="H148" s="66">
        <f t="shared" ref="H148:H151" si="61">D148-G148+E148+F148</f>
        <v>5364.7</v>
      </c>
      <c r="I148" s="77">
        <f>[49]对账!$B$87</f>
        <v>419</v>
      </c>
      <c r="J148" s="64">
        <f t="shared" ref="J148:J153" si="62">G148-I148</f>
        <v>0</v>
      </c>
      <c r="K148" s="80"/>
    </row>
    <row r="149" customHeight="1" spans="1:11">
      <c r="A149" s="63">
        <v>43700</v>
      </c>
      <c r="B149" s="8" t="s">
        <v>15</v>
      </c>
      <c r="C149" s="8" t="s">
        <v>16</v>
      </c>
      <c r="D149" s="64">
        <f t="shared" si="60"/>
        <v>1261</v>
      </c>
      <c r="E149" s="6"/>
      <c r="F149" s="6"/>
      <c r="G149" s="65">
        <v>0</v>
      </c>
      <c r="H149" s="66">
        <f t="shared" si="61"/>
        <v>1261</v>
      </c>
      <c r="I149" s="77">
        <v>0</v>
      </c>
      <c r="J149" s="64">
        <f t="shared" si="62"/>
        <v>0</v>
      </c>
      <c r="K149" s="80"/>
    </row>
    <row r="150" customHeight="1" spans="1:11">
      <c r="A150" s="63">
        <v>43700</v>
      </c>
      <c r="B150" s="8" t="s">
        <v>31</v>
      </c>
      <c r="C150" s="8" t="s">
        <v>19</v>
      </c>
      <c r="D150" s="64">
        <f t="shared" si="60"/>
        <v>8454.5</v>
      </c>
      <c r="E150" s="6"/>
      <c r="F150" s="6"/>
      <c r="G150" s="65">
        <v>3630</v>
      </c>
      <c r="H150" s="66">
        <f t="shared" si="61"/>
        <v>4824.5</v>
      </c>
      <c r="I150" s="77">
        <f>[46]对账!$B$60</f>
        <v>3580.9</v>
      </c>
      <c r="J150" s="64">
        <f t="shared" si="62"/>
        <v>49.0999999999999</v>
      </c>
      <c r="K150" s="101" t="s">
        <v>17</v>
      </c>
    </row>
    <row r="151" customHeight="1" spans="1:11">
      <c r="A151" s="63">
        <v>43700</v>
      </c>
      <c r="B151" s="8" t="s">
        <v>18</v>
      </c>
      <c r="C151" s="8" t="s">
        <v>20</v>
      </c>
      <c r="D151" s="64">
        <f t="shared" si="60"/>
        <v>1949</v>
      </c>
      <c r="E151" s="6"/>
      <c r="F151" s="6"/>
      <c r="G151" s="65">
        <v>1877</v>
      </c>
      <c r="H151" s="66">
        <f t="shared" si="61"/>
        <v>72</v>
      </c>
      <c r="I151" s="77">
        <f>[47]账单!$E$26</f>
        <v>1877</v>
      </c>
      <c r="J151" s="64">
        <f t="shared" si="62"/>
        <v>0</v>
      </c>
      <c r="K151" s="80"/>
    </row>
    <row r="152" customHeight="1" spans="1:11">
      <c r="A152" s="63">
        <v>43700</v>
      </c>
      <c r="B152" s="8" t="s">
        <v>18</v>
      </c>
      <c r="C152" s="8" t="s">
        <v>40</v>
      </c>
      <c r="D152" s="64">
        <f t="shared" si="60"/>
        <v>5795</v>
      </c>
      <c r="E152" s="6">
        <v>10000</v>
      </c>
      <c r="F152" s="6"/>
      <c r="G152" s="65">
        <v>2966</v>
      </c>
      <c r="H152" s="66">
        <f>D152+E152+F152-G152</f>
        <v>12829</v>
      </c>
      <c r="I152" s="77">
        <f>[48]账单!$E$25</f>
        <v>2965.9</v>
      </c>
      <c r="J152" s="64">
        <f t="shared" si="62"/>
        <v>0.0999999999999091</v>
      </c>
      <c r="K152" s="80"/>
    </row>
    <row r="153" customHeight="1" spans="1:11">
      <c r="A153" s="67">
        <v>43700</v>
      </c>
      <c r="B153" s="68"/>
      <c r="C153" s="68" t="s">
        <v>41</v>
      </c>
      <c r="D153" s="69">
        <f t="shared" si="60"/>
        <v>7336</v>
      </c>
      <c r="E153" s="70"/>
      <c r="F153" s="70"/>
      <c r="G153" s="71">
        <v>10</v>
      </c>
      <c r="H153" s="72">
        <f>D153+E153+F153-G153</f>
        <v>7326</v>
      </c>
      <c r="I153" s="81">
        <v>10</v>
      </c>
      <c r="J153" s="69">
        <f t="shared" si="62"/>
        <v>0</v>
      </c>
      <c r="K153" s="82"/>
    </row>
    <row r="154" customHeight="1" spans="1:11">
      <c r="A154" s="99" t="s">
        <v>0</v>
      </c>
      <c r="B154" s="60" t="s">
        <v>1</v>
      </c>
      <c r="C154" s="60" t="s">
        <v>2</v>
      </c>
      <c r="D154" s="59" t="s">
        <v>3</v>
      </c>
      <c r="E154" s="60" t="s">
        <v>4</v>
      </c>
      <c r="F154" s="60" t="s">
        <v>5</v>
      </c>
      <c r="G154" s="61" t="s">
        <v>6</v>
      </c>
      <c r="H154" s="62" t="s">
        <v>7</v>
      </c>
      <c r="I154" s="75" t="s">
        <v>8</v>
      </c>
      <c r="J154" s="59" t="s">
        <v>9</v>
      </c>
      <c r="K154" s="100" t="s">
        <v>10</v>
      </c>
    </row>
    <row r="155" customHeight="1" spans="1:11">
      <c r="A155" s="63">
        <v>43701</v>
      </c>
      <c r="B155" s="8" t="s">
        <v>11</v>
      </c>
      <c r="C155" s="8" t="s">
        <v>12</v>
      </c>
      <c r="D155" s="64">
        <f t="shared" ref="D155:D160" si="63">H148</f>
        <v>5364.7</v>
      </c>
      <c r="E155" s="6"/>
      <c r="F155" s="6"/>
      <c r="G155" s="65">
        <v>433</v>
      </c>
      <c r="H155" s="66">
        <f t="shared" ref="H155:H158" si="64">D155-G155+E155+F155</f>
        <v>4931.7</v>
      </c>
      <c r="I155" s="77">
        <f>[49]对账!$B$88</f>
        <v>433</v>
      </c>
      <c r="J155" s="64">
        <f t="shared" ref="J155:J160" si="65">G155-I155</f>
        <v>0</v>
      </c>
      <c r="K155" s="80"/>
    </row>
    <row r="156" customHeight="1" spans="1:11">
      <c r="A156" s="63">
        <v>43701</v>
      </c>
      <c r="B156" s="8" t="s">
        <v>15</v>
      </c>
      <c r="C156" s="8" t="s">
        <v>16</v>
      </c>
      <c r="D156" s="64">
        <f t="shared" si="63"/>
        <v>1261</v>
      </c>
      <c r="E156" s="6"/>
      <c r="F156" s="6"/>
      <c r="G156" s="65">
        <v>20</v>
      </c>
      <c r="H156" s="66">
        <f t="shared" si="64"/>
        <v>1241</v>
      </c>
      <c r="I156" s="77">
        <v>20</v>
      </c>
      <c r="J156" s="64">
        <f t="shared" si="65"/>
        <v>0</v>
      </c>
      <c r="K156" s="80"/>
    </row>
    <row r="157" customHeight="1" spans="1:11">
      <c r="A157" s="63">
        <v>43701</v>
      </c>
      <c r="B157" s="8" t="s">
        <v>31</v>
      </c>
      <c r="C157" s="8" t="s">
        <v>19</v>
      </c>
      <c r="D157" s="64">
        <f t="shared" si="63"/>
        <v>4824.5</v>
      </c>
      <c r="E157" s="6"/>
      <c r="F157" s="6"/>
      <c r="G157" s="65">
        <v>3699</v>
      </c>
      <c r="H157" s="66">
        <f t="shared" si="64"/>
        <v>1125.5</v>
      </c>
      <c r="I157" s="77">
        <f>[46]对账!$B$61+15</f>
        <v>3698.9</v>
      </c>
      <c r="J157" s="64">
        <f t="shared" si="65"/>
        <v>0.0999999999999091</v>
      </c>
      <c r="K157" s="101"/>
    </row>
    <row r="158" customHeight="1" spans="1:11">
      <c r="A158" s="63">
        <v>43701</v>
      </c>
      <c r="B158" s="8" t="s">
        <v>18</v>
      </c>
      <c r="C158" s="8" t="s">
        <v>20</v>
      </c>
      <c r="D158" s="64">
        <f t="shared" si="63"/>
        <v>72</v>
      </c>
      <c r="E158" s="6">
        <v>10000</v>
      </c>
      <c r="F158" s="6"/>
      <c r="G158" s="65">
        <v>1419</v>
      </c>
      <c r="H158" s="66">
        <f t="shared" si="64"/>
        <v>8653</v>
      </c>
      <c r="I158" s="77">
        <f>[47]账单!$E$27</f>
        <v>1419</v>
      </c>
      <c r="J158" s="64">
        <f t="shared" si="65"/>
        <v>0</v>
      </c>
      <c r="K158" s="80"/>
    </row>
    <row r="159" customHeight="1" spans="1:11">
      <c r="A159" s="63">
        <v>43701</v>
      </c>
      <c r="B159" s="8" t="s">
        <v>18</v>
      </c>
      <c r="C159" s="8" t="s">
        <v>40</v>
      </c>
      <c r="D159" s="64">
        <f t="shared" si="63"/>
        <v>12829</v>
      </c>
      <c r="E159" s="6"/>
      <c r="F159" s="6"/>
      <c r="G159" s="65">
        <v>3444</v>
      </c>
      <c r="H159" s="66">
        <f>D159+E159+F159-G159</f>
        <v>9385</v>
      </c>
      <c r="I159" s="77">
        <f>[48]账单!$E$26</f>
        <v>3444</v>
      </c>
      <c r="J159" s="64">
        <f t="shared" si="65"/>
        <v>0</v>
      </c>
      <c r="K159" s="80"/>
    </row>
    <row r="160" customHeight="1" spans="1:11">
      <c r="A160" s="67">
        <v>43701</v>
      </c>
      <c r="B160" s="68"/>
      <c r="C160" s="68" t="s">
        <v>41</v>
      </c>
      <c r="D160" s="69">
        <f t="shared" si="63"/>
        <v>7326</v>
      </c>
      <c r="E160" s="70"/>
      <c r="F160" s="70"/>
      <c r="G160" s="71">
        <v>15</v>
      </c>
      <c r="H160" s="72">
        <f>D160+E160+F160-G160</f>
        <v>7311</v>
      </c>
      <c r="I160" s="81">
        <v>15</v>
      </c>
      <c r="J160" s="69">
        <f t="shared" si="65"/>
        <v>0</v>
      </c>
      <c r="K160" s="82"/>
    </row>
    <row r="161" customHeight="1" spans="1:11">
      <c r="A161" s="99" t="s">
        <v>0</v>
      </c>
      <c r="B161" s="60" t="s">
        <v>1</v>
      </c>
      <c r="C161" s="60" t="s">
        <v>2</v>
      </c>
      <c r="D161" s="59" t="s">
        <v>3</v>
      </c>
      <c r="E161" s="60" t="s">
        <v>4</v>
      </c>
      <c r="F161" s="60" t="s">
        <v>5</v>
      </c>
      <c r="G161" s="61" t="s">
        <v>6</v>
      </c>
      <c r="H161" s="62" t="s">
        <v>7</v>
      </c>
      <c r="I161" s="75" t="s">
        <v>8</v>
      </c>
      <c r="J161" s="59" t="s">
        <v>9</v>
      </c>
      <c r="K161" s="100" t="s">
        <v>10</v>
      </c>
    </row>
    <row r="162" customHeight="1" spans="1:11">
      <c r="A162" s="63">
        <v>43702</v>
      </c>
      <c r="B162" s="8" t="s">
        <v>11</v>
      </c>
      <c r="C162" s="8" t="s">
        <v>12</v>
      </c>
      <c r="D162" s="64">
        <f t="shared" ref="D162:D167" si="66">H155</f>
        <v>4931.7</v>
      </c>
      <c r="E162" s="6"/>
      <c r="F162" s="6"/>
      <c r="G162" s="65">
        <v>665</v>
      </c>
      <c r="H162" s="66">
        <f t="shared" ref="H162:H165" si="67">D162-G162+E162+F162</f>
        <v>4266.7</v>
      </c>
      <c r="I162" s="77">
        <f>[40]对账!$B$89</f>
        <v>656</v>
      </c>
      <c r="J162" s="64">
        <f t="shared" ref="J162:J167" si="68">G162-I162</f>
        <v>9</v>
      </c>
      <c r="K162" s="80"/>
    </row>
    <row r="163" customHeight="1" spans="1:11">
      <c r="A163" s="63">
        <v>43702</v>
      </c>
      <c r="B163" s="8" t="s">
        <v>15</v>
      </c>
      <c r="C163" s="8" t="s">
        <v>16</v>
      </c>
      <c r="D163" s="64">
        <f t="shared" si="66"/>
        <v>1241</v>
      </c>
      <c r="E163" s="6"/>
      <c r="F163" s="6"/>
      <c r="G163" s="65">
        <v>0</v>
      </c>
      <c r="H163" s="66">
        <f t="shared" si="67"/>
        <v>1241</v>
      </c>
      <c r="I163" s="77">
        <v>0</v>
      </c>
      <c r="J163" s="64">
        <f t="shared" si="68"/>
        <v>0</v>
      </c>
      <c r="K163" s="80"/>
    </row>
    <row r="164" customHeight="1" spans="1:11">
      <c r="A164" s="63">
        <v>43702</v>
      </c>
      <c r="B164" s="8" t="s">
        <v>31</v>
      </c>
      <c r="C164" s="8" t="s">
        <v>19</v>
      </c>
      <c r="D164" s="64">
        <f t="shared" si="66"/>
        <v>1125.5</v>
      </c>
      <c r="E164" s="6">
        <v>10000</v>
      </c>
      <c r="F164" s="6">
        <v>59</v>
      </c>
      <c r="G164" s="65">
        <v>3022</v>
      </c>
      <c r="H164" s="66">
        <f t="shared" si="67"/>
        <v>8162.5</v>
      </c>
      <c r="I164" s="77">
        <f>[46]对账!$B$62-59</f>
        <v>3705</v>
      </c>
      <c r="J164" s="64">
        <f t="shared" si="68"/>
        <v>-683</v>
      </c>
      <c r="K164" s="101" t="s">
        <v>60</v>
      </c>
    </row>
    <row r="165" customHeight="1" spans="1:11">
      <c r="A165" s="63">
        <v>43702</v>
      </c>
      <c r="B165" s="8" t="s">
        <v>18</v>
      </c>
      <c r="C165" s="8" t="s">
        <v>20</v>
      </c>
      <c r="D165" s="64">
        <f t="shared" si="66"/>
        <v>8653</v>
      </c>
      <c r="E165" s="6"/>
      <c r="F165" s="6"/>
      <c r="G165" s="65">
        <v>4217</v>
      </c>
      <c r="H165" s="66">
        <f t="shared" si="67"/>
        <v>4436</v>
      </c>
      <c r="I165" s="77">
        <f>[47]账单!$E$28</f>
        <v>4217</v>
      </c>
      <c r="J165" s="64">
        <f t="shared" si="68"/>
        <v>0</v>
      </c>
      <c r="K165" s="80" t="s">
        <v>56</v>
      </c>
    </row>
    <row r="166" customHeight="1" spans="1:11">
      <c r="A166" s="63">
        <v>43702</v>
      </c>
      <c r="B166" s="8" t="s">
        <v>18</v>
      </c>
      <c r="C166" s="8" t="s">
        <v>40</v>
      </c>
      <c r="D166" s="64">
        <f t="shared" si="66"/>
        <v>9385</v>
      </c>
      <c r="E166" s="6"/>
      <c r="F166" s="6"/>
      <c r="G166" s="65">
        <v>936</v>
      </c>
      <c r="H166" s="66">
        <f>D166+E166+F166-G166</f>
        <v>8449</v>
      </c>
      <c r="I166" s="77">
        <f>[48]账单!$E$27</f>
        <v>936</v>
      </c>
      <c r="J166" s="64">
        <f t="shared" si="68"/>
        <v>0</v>
      </c>
      <c r="K166" s="80"/>
    </row>
    <row r="167" customHeight="1" spans="1:11">
      <c r="A167" s="67">
        <v>43702</v>
      </c>
      <c r="B167" s="68"/>
      <c r="C167" s="68" t="s">
        <v>41</v>
      </c>
      <c r="D167" s="69">
        <f t="shared" si="66"/>
        <v>7311</v>
      </c>
      <c r="E167" s="70"/>
      <c r="F167" s="70"/>
      <c r="G167" s="71">
        <v>861</v>
      </c>
      <c r="H167" s="72">
        <f>D167+E167+F167-G167</f>
        <v>6450</v>
      </c>
      <c r="I167" s="81">
        <v>0</v>
      </c>
      <c r="J167" s="69">
        <f t="shared" si="68"/>
        <v>861</v>
      </c>
      <c r="K167" s="82"/>
    </row>
    <row r="168" customHeight="1" spans="1:11">
      <c r="A168" s="99" t="s">
        <v>0</v>
      </c>
      <c r="B168" s="60" t="s">
        <v>1</v>
      </c>
      <c r="C168" s="60" t="s">
        <v>2</v>
      </c>
      <c r="D168" s="59" t="s">
        <v>3</v>
      </c>
      <c r="E168" s="60" t="s">
        <v>4</v>
      </c>
      <c r="F168" s="60" t="s">
        <v>5</v>
      </c>
      <c r="G168" s="61" t="s">
        <v>6</v>
      </c>
      <c r="H168" s="62" t="s">
        <v>7</v>
      </c>
      <c r="I168" s="75" t="s">
        <v>8</v>
      </c>
      <c r="J168" s="59" t="s">
        <v>9</v>
      </c>
      <c r="K168" s="100" t="s">
        <v>10</v>
      </c>
    </row>
    <row r="169" customHeight="1" spans="1:11">
      <c r="A169" s="63">
        <v>43703</v>
      </c>
      <c r="B169" s="8" t="s">
        <v>11</v>
      </c>
      <c r="C169" s="8" t="s">
        <v>12</v>
      </c>
      <c r="D169" s="64">
        <f t="shared" ref="D169:D174" si="69">H162</f>
        <v>4266.7</v>
      </c>
      <c r="E169" s="6"/>
      <c r="F169" s="6"/>
      <c r="G169" s="65">
        <v>359</v>
      </c>
      <c r="H169" s="66">
        <f t="shared" ref="H169:H172" si="70">D169-G169+E169+F169</f>
        <v>3907.7</v>
      </c>
      <c r="I169" s="77">
        <f>[40]对账!$B$90</f>
        <v>364</v>
      </c>
      <c r="J169" s="64">
        <f t="shared" ref="J169:J174" si="71">G169-I169</f>
        <v>-5</v>
      </c>
      <c r="K169" s="80"/>
    </row>
    <row r="170" customHeight="1" spans="1:11">
      <c r="A170" s="63">
        <v>43703</v>
      </c>
      <c r="B170" s="8" t="s">
        <v>15</v>
      </c>
      <c r="C170" s="8" t="s">
        <v>16</v>
      </c>
      <c r="D170" s="64">
        <f t="shared" si="69"/>
        <v>1241</v>
      </c>
      <c r="E170" s="6"/>
      <c r="F170" s="6"/>
      <c r="G170" s="65">
        <v>23</v>
      </c>
      <c r="H170" s="66">
        <f t="shared" si="70"/>
        <v>1218</v>
      </c>
      <c r="I170" s="77">
        <f>[53]好评返现对账!$B$69</f>
        <v>23</v>
      </c>
      <c r="J170" s="64">
        <f t="shared" si="71"/>
        <v>0</v>
      </c>
      <c r="K170" s="80"/>
    </row>
    <row r="171" customHeight="1" spans="1:11">
      <c r="A171" s="63">
        <v>43703</v>
      </c>
      <c r="B171" s="8" t="s">
        <v>31</v>
      </c>
      <c r="C171" s="8" t="s">
        <v>19</v>
      </c>
      <c r="D171" s="64">
        <f t="shared" si="69"/>
        <v>8162.5</v>
      </c>
      <c r="E171" s="6"/>
      <c r="F171" s="6"/>
      <c r="G171" s="65">
        <v>3773</v>
      </c>
      <c r="H171" s="66">
        <f t="shared" si="70"/>
        <v>4389.5</v>
      </c>
      <c r="I171" s="77">
        <f>[50]对账!$B$63</f>
        <v>3714</v>
      </c>
      <c r="J171" s="64">
        <f t="shared" si="71"/>
        <v>59</v>
      </c>
      <c r="K171" s="101" t="s">
        <v>17</v>
      </c>
    </row>
    <row r="172" customHeight="1" spans="1:11">
      <c r="A172" s="63">
        <v>43703</v>
      </c>
      <c r="B172" s="8" t="s">
        <v>18</v>
      </c>
      <c r="C172" s="8" t="s">
        <v>20</v>
      </c>
      <c r="D172" s="64">
        <f t="shared" si="69"/>
        <v>4436</v>
      </c>
      <c r="E172" s="6"/>
      <c r="F172" s="6"/>
      <c r="G172" s="65">
        <v>3617</v>
      </c>
      <c r="H172" s="66">
        <f t="shared" si="70"/>
        <v>819</v>
      </c>
      <c r="I172" s="77">
        <f>[51]账单!$E$29</f>
        <v>3617</v>
      </c>
      <c r="J172" s="64">
        <f t="shared" si="71"/>
        <v>0</v>
      </c>
      <c r="K172" s="80"/>
    </row>
    <row r="173" customHeight="1" spans="1:11">
      <c r="A173" s="63">
        <v>43703</v>
      </c>
      <c r="B173" s="8" t="s">
        <v>18</v>
      </c>
      <c r="C173" s="8" t="s">
        <v>40</v>
      </c>
      <c r="D173" s="64">
        <f t="shared" si="69"/>
        <v>8449</v>
      </c>
      <c r="E173" s="6"/>
      <c r="F173" s="6"/>
      <c r="G173" s="65">
        <v>1089</v>
      </c>
      <c r="H173" s="66">
        <f>D173+E173+F173-G173</f>
        <v>7360</v>
      </c>
      <c r="I173" s="77">
        <f>[52]账单!$E$28</f>
        <v>1089</v>
      </c>
      <c r="J173" s="64">
        <f t="shared" si="71"/>
        <v>0</v>
      </c>
      <c r="K173" s="80"/>
    </row>
    <row r="174" customHeight="1" spans="1:11">
      <c r="A174" s="67">
        <v>43703</v>
      </c>
      <c r="B174" s="68"/>
      <c r="C174" s="68" t="s">
        <v>41</v>
      </c>
      <c r="D174" s="69">
        <f t="shared" si="69"/>
        <v>6450</v>
      </c>
      <c r="E174" s="70"/>
      <c r="F174" s="70"/>
      <c r="G174" s="71">
        <v>5</v>
      </c>
      <c r="H174" s="72">
        <f>D174+E174+F174-G174</f>
        <v>6445</v>
      </c>
      <c r="I174" s="81">
        <v>0</v>
      </c>
      <c r="J174" s="69">
        <f t="shared" si="71"/>
        <v>5</v>
      </c>
      <c r="K174" s="82"/>
    </row>
    <row r="175" customHeight="1" spans="1:11">
      <c r="A175" s="99" t="s">
        <v>0</v>
      </c>
      <c r="B175" s="60" t="s">
        <v>1</v>
      </c>
      <c r="C175" s="60" t="s">
        <v>2</v>
      </c>
      <c r="D175" s="59" t="s">
        <v>3</v>
      </c>
      <c r="E175" s="60" t="s">
        <v>4</v>
      </c>
      <c r="F175" s="60" t="s">
        <v>5</v>
      </c>
      <c r="G175" s="61" t="s">
        <v>6</v>
      </c>
      <c r="H175" s="62" t="s">
        <v>7</v>
      </c>
      <c r="I175" s="75" t="s">
        <v>8</v>
      </c>
      <c r="J175" s="59" t="s">
        <v>9</v>
      </c>
      <c r="K175" s="100" t="s">
        <v>10</v>
      </c>
    </row>
    <row r="176" customHeight="1" spans="1:11">
      <c r="A176" s="63">
        <v>43704</v>
      </c>
      <c r="B176" s="8" t="s">
        <v>11</v>
      </c>
      <c r="C176" s="8" t="s">
        <v>12</v>
      </c>
      <c r="D176" s="64">
        <f t="shared" ref="D176:D181" si="72">H169</f>
        <v>3907.7</v>
      </c>
      <c r="E176" s="6"/>
      <c r="F176" s="6"/>
      <c r="G176" s="65">
        <v>517</v>
      </c>
      <c r="H176" s="66">
        <f t="shared" ref="H176:H179" si="73">D176-G176+E176+F176</f>
        <v>3390.7</v>
      </c>
      <c r="I176" s="77">
        <f>[40]对账!$B$91</f>
        <v>516.9</v>
      </c>
      <c r="J176" s="64">
        <f t="shared" ref="J176:J181" si="74">G176-I176</f>
        <v>0.100000000000023</v>
      </c>
      <c r="K176" s="80"/>
    </row>
    <row r="177" customHeight="1" spans="1:11">
      <c r="A177" s="63">
        <v>43704</v>
      </c>
      <c r="B177" s="8" t="s">
        <v>15</v>
      </c>
      <c r="C177" s="8" t="s">
        <v>16</v>
      </c>
      <c r="D177" s="64">
        <f t="shared" si="72"/>
        <v>1218</v>
      </c>
      <c r="E177" s="6"/>
      <c r="F177" s="6"/>
      <c r="G177" s="65">
        <v>20</v>
      </c>
      <c r="H177" s="66">
        <f t="shared" si="73"/>
        <v>1198</v>
      </c>
      <c r="I177" s="77">
        <v>0</v>
      </c>
      <c r="J177" s="64">
        <f t="shared" si="74"/>
        <v>20</v>
      </c>
      <c r="K177" s="80"/>
    </row>
    <row r="178" customHeight="1" spans="1:11">
      <c r="A178" s="63">
        <v>43704</v>
      </c>
      <c r="B178" s="8" t="s">
        <v>31</v>
      </c>
      <c r="C178" s="8" t="s">
        <v>19</v>
      </c>
      <c r="D178" s="64">
        <f t="shared" si="72"/>
        <v>4389.5</v>
      </c>
      <c r="E178" s="6"/>
      <c r="F178" s="6"/>
      <c r="G178" s="65">
        <v>4293</v>
      </c>
      <c r="H178" s="66">
        <f t="shared" si="73"/>
        <v>96.5</v>
      </c>
      <c r="I178" s="77">
        <f>[50]对账!$B$64</f>
        <v>4278</v>
      </c>
      <c r="J178" s="64">
        <f t="shared" si="74"/>
        <v>15</v>
      </c>
      <c r="K178" s="101"/>
    </row>
    <row r="179" customHeight="1" spans="1:11">
      <c r="A179" s="63">
        <v>43704</v>
      </c>
      <c r="B179" s="8" t="s">
        <v>18</v>
      </c>
      <c r="C179" s="8" t="s">
        <v>20</v>
      </c>
      <c r="D179" s="64">
        <f t="shared" si="72"/>
        <v>819</v>
      </c>
      <c r="E179" s="6">
        <v>10000</v>
      </c>
      <c r="F179" s="6"/>
      <c r="G179" s="65">
        <v>3574</v>
      </c>
      <c r="H179" s="66">
        <f t="shared" si="73"/>
        <v>7245</v>
      </c>
      <c r="I179" s="77">
        <f>[51]账单!$E$30</f>
        <v>3574</v>
      </c>
      <c r="J179" s="64">
        <f t="shared" si="74"/>
        <v>0</v>
      </c>
      <c r="K179" s="80"/>
    </row>
    <row r="180" customHeight="1" spans="1:11">
      <c r="A180" s="63">
        <v>43704</v>
      </c>
      <c r="B180" s="8" t="s">
        <v>18</v>
      </c>
      <c r="C180" s="8" t="s">
        <v>40</v>
      </c>
      <c r="D180" s="64">
        <f t="shared" si="72"/>
        <v>7360</v>
      </c>
      <c r="E180" s="6"/>
      <c r="F180" s="6"/>
      <c r="G180" s="65">
        <v>849</v>
      </c>
      <c r="H180" s="66">
        <f>D180+E180+F180-G180</f>
        <v>6511</v>
      </c>
      <c r="I180" s="77">
        <f>[52]账单!$E$29</f>
        <v>849</v>
      </c>
      <c r="J180" s="64">
        <f t="shared" si="74"/>
        <v>0</v>
      </c>
      <c r="K180" s="80"/>
    </row>
    <row r="181" customHeight="1" spans="1:11">
      <c r="A181" s="67">
        <v>43704</v>
      </c>
      <c r="B181" s="68"/>
      <c r="C181" s="68" t="s">
        <v>41</v>
      </c>
      <c r="D181" s="69">
        <f t="shared" si="72"/>
        <v>6445</v>
      </c>
      <c r="E181" s="70"/>
      <c r="F181" s="70"/>
      <c r="G181" s="71">
        <v>0</v>
      </c>
      <c r="H181" s="72">
        <f>D181+E181+F181-G181</f>
        <v>6445</v>
      </c>
      <c r="I181" s="81">
        <v>0</v>
      </c>
      <c r="J181" s="69">
        <f t="shared" si="74"/>
        <v>0</v>
      </c>
      <c r="K181" s="82"/>
    </row>
    <row r="182" customHeight="1" spans="1:11">
      <c r="A182" s="99" t="s">
        <v>0</v>
      </c>
      <c r="B182" s="60" t="s">
        <v>1</v>
      </c>
      <c r="C182" s="60" t="s">
        <v>2</v>
      </c>
      <c r="D182" s="59" t="s">
        <v>3</v>
      </c>
      <c r="E182" s="60" t="s">
        <v>4</v>
      </c>
      <c r="F182" s="60" t="s">
        <v>5</v>
      </c>
      <c r="G182" s="61" t="s">
        <v>6</v>
      </c>
      <c r="H182" s="62" t="s">
        <v>7</v>
      </c>
      <c r="I182" s="75" t="s">
        <v>8</v>
      </c>
      <c r="J182" s="59" t="s">
        <v>9</v>
      </c>
      <c r="K182" s="100" t="s">
        <v>10</v>
      </c>
    </row>
    <row r="183" customHeight="1" spans="1:11">
      <c r="A183" s="63">
        <v>43705</v>
      </c>
      <c r="B183" s="8" t="s">
        <v>11</v>
      </c>
      <c r="C183" s="8" t="s">
        <v>12</v>
      </c>
      <c r="D183" s="64">
        <f t="shared" ref="D183:D188" si="75">H176</f>
        <v>3390.7</v>
      </c>
      <c r="E183" s="6"/>
      <c r="F183" s="6"/>
      <c r="G183" s="65">
        <v>517</v>
      </c>
      <c r="H183" s="66">
        <f t="shared" ref="H183:H186" si="76">D183-G183+E183+F183</f>
        <v>2873.7</v>
      </c>
      <c r="I183" s="77">
        <f>[40]对账!$B$92</f>
        <v>517</v>
      </c>
      <c r="J183" s="64">
        <f t="shared" ref="J183:J188" si="77">G183-I183</f>
        <v>0</v>
      </c>
      <c r="K183" s="80"/>
    </row>
    <row r="184" customHeight="1" spans="1:11">
      <c r="A184" s="63">
        <v>43705</v>
      </c>
      <c r="B184" s="8" t="s">
        <v>15</v>
      </c>
      <c r="C184" s="8" t="s">
        <v>16</v>
      </c>
      <c r="D184" s="64">
        <f t="shared" si="75"/>
        <v>1198</v>
      </c>
      <c r="E184" s="6"/>
      <c r="F184" s="6"/>
      <c r="G184" s="65">
        <v>113</v>
      </c>
      <c r="H184" s="66">
        <f t="shared" si="76"/>
        <v>1085</v>
      </c>
      <c r="I184" s="77">
        <f>[53]好评返现对账!$B$71</f>
        <v>113</v>
      </c>
      <c r="J184" s="64">
        <f t="shared" si="77"/>
        <v>0</v>
      </c>
      <c r="K184" s="80"/>
    </row>
    <row r="185" customHeight="1" spans="1:11">
      <c r="A185" s="63">
        <v>43705</v>
      </c>
      <c r="B185" s="8" t="s">
        <v>31</v>
      </c>
      <c r="C185" s="8" t="s">
        <v>19</v>
      </c>
      <c r="D185" s="64">
        <f t="shared" si="75"/>
        <v>96.5</v>
      </c>
      <c r="E185" s="6">
        <v>10000</v>
      </c>
      <c r="F185" s="6"/>
      <c r="G185" s="65">
        <v>3809</v>
      </c>
      <c r="H185" s="66">
        <f t="shared" si="76"/>
        <v>6287.5</v>
      </c>
      <c r="I185" s="77">
        <f>[50]对账!$B$65</f>
        <v>3814</v>
      </c>
      <c r="J185" s="64">
        <f t="shared" si="77"/>
        <v>-5</v>
      </c>
      <c r="K185" s="101"/>
    </row>
    <row r="186" customHeight="1" spans="1:11">
      <c r="A186" s="63">
        <v>43705</v>
      </c>
      <c r="B186" s="8" t="s">
        <v>18</v>
      </c>
      <c r="C186" s="8" t="s">
        <v>20</v>
      </c>
      <c r="D186" s="64">
        <f t="shared" si="75"/>
        <v>7245</v>
      </c>
      <c r="E186" s="6"/>
      <c r="F186" s="6"/>
      <c r="G186" s="65">
        <f>2457-5</f>
        <v>2452</v>
      </c>
      <c r="H186" s="66">
        <f t="shared" si="76"/>
        <v>4793</v>
      </c>
      <c r="I186" s="77">
        <f>[51]账单!$E$31</f>
        <v>2437</v>
      </c>
      <c r="J186" s="64">
        <f t="shared" si="77"/>
        <v>15</v>
      </c>
      <c r="K186" s="80" t="s">
        <v>61</v>
      </c>
    </row>
    <row r="187" customHeight="1" spans="1:11">
      <c r="A187" s="63">
        <v>43705</v>
      </c>
      <c r="B187" s="8" t="s">
        <v>18</v>
      </c>
      <c r="C187" s="8" t="s">
        <v>40</v>
      </c>
      <c r="D187" s="64">
        <f t="shared" si="75"/>
        <v>6511</v>
      </c>
      <c r="E187" s="6"/>
      <c r="F187" s="6"/>
      <c r="G187" s="65">
        <v>2524</v>
      </c>
      <c r="H187" s="66">
        <f>D187+E187+F187-G187</f>
        <v>3987</v>
      </c>
      <c r="I187" s="77">
        <f>[52]账单!$E$30</f>
        <v>2524</v>
      </c>
      <c r="J187" s="64">
        <f t="shared" si="77"/>
        <v>0</v>
      </c>
      <c r="K187" s="80"/>
    </row>
    <row r="188" customHeight="1" spans="1:11">
      <c r="A188" s="67">
        <v>43705</v>
      </c>
      <c r="B188" s="68"/>
      <c r="C188" s="68" t="s">
        <v>41</v>
      </c>
      <c r="D188" s="69">
        <f t="shared" si="75"/>
        <v>6445</v>
      </c>
      <c r="E188" s="70"/>
      <c r="F188" s="70"/>
      <c r="G188" s="71">
        <v>0</v>
      </c>
      <c r="H188" s="72">
        <f>D188+E188+F188-G188</f>
        <v>6445</v>
      </c>
      <c r="I188" s="81">
        <v>0</v>
      </c>
      <c r="J188" s="69">
        <f t="shared" si="77"/>
        <v>0</v>
      </c>
      <c r="K188" s="82"/>
    </row>
    <row r="189" customHeight="1" spans="1:11">
      <c r="A189" s="99" t="s">
        <v>0</v>
      </c>
      <c r="B189" s="60" t="s">
        <v>1</v>
      </c>
      <c r="C189" s="60" t="s">
        <v>2</v>
      </c>
      <c r="D189" s="59" t="s">
        <v>3</v>
      </c>
      <c r="E189" s="60" t="s">
        <v>4</v>
      </c>
      <c r="F189" s="60" t="s">
        <v>5</v>
      </c>
      <c r="G189" s="61" t="s">
        <v>6</v>
      </c>
      <c r="H189" s="62" t="s">
        <v>7</v>
      </c>
      <c r="I189" s="75" t="s">
        <v>8</v>
      </c>
      <c r="J189" s="59" t="s">
        <v>9</v>
      </c>
      <c r="K189" s="100" t="s">
        <v>10</v>
      </c>
    </row>
    <row r="190" customHeight="1" spans="1:11">
      <c r="A190" s="63">
        <v>43706</v>
      </c>
      <c r="B190" s="8" t="s">
        <v>11</v>
      </c>
      <c r="C190" s="8" t="s">
        <v>12</v>
      </c>
      <c r="D190" s="64">
        <f t="shared" ref="D190:D195" si="78">H183</f>
        <v>2873.7</v>
      </c>
      <c r="E190" s="6"/>
      <c r="F190" s="6"/>
      <c r="G190" s="65">
        <v>440</v>
      </c>
      <c r="H190" s="66">
        <f t="shared" ref="H190:H193" si="79">D190-G190+E190+F190</f>
        <v>2433.7</v>
      </c>
      <c r="I190" s="77">
        <f>[40]对账!$B$93</f>
        <v>435</v>
      </c>
      <c r="J190" s="64">
        <f t="shared" ref="J190:J195" si="80">G190-I190</f>
        <v>5</v>
      </c>
      <c r="K190" s="80"/>
    </row>
    <row r="191" customHeight="1" spans="1:11">
      <c r="A191" s="63">
        <v>43706</v>
      </c>
      <c r="B191" s="8" t="s">
        <v>15</v>
      </c>
      <c r="C191" s="8" t="s">
        <v>16</v>
      </c>
      <c r="D191" s="64">
        <f t="shared" si="78"/>
        <v>1085</v>
      </c>
      <c r="E191" s="6"/>
      <c r="F191" s="6"/>
      <c r="G191" s="65">
        <v>427</v>
      </c>
      <c r="H191" s="66">
        <f t="shared" si="79"/>
        <v>658</v>
      </c>
      <c r="I191" s="77">
        <f>[53]好评返现对账!$B$72</f>
        <v>427</v>
      </c>
      <c r="J191" s="64">
        <f t="shared" si="80"/>
        <v>0</v>
      </c>
      <c r="K191" s="80"/>
    </row>
    <row r="192" customHeight="1" spans="1:11">
      <c r="A192" s="63">
        <v>43706</v>
      </c>
      <c r="B192" s="8" t="s">
        <v>31</v>
      </c>
      <c r="C192" s="8" t="s">
        <v>19</v>
      </c>
      <c r="D192" s="64">
        <f t="shared" si="78"/>
        <v>6287.5</v>
      </c>
      <c r="E192" s="6"/>
      <c r="F192" s="6"/>
      <c r="G192" s="65">
        <v>3305</v>
      </c>
      <c r="H192" s="66">
        <f t="shared" si="79"/>
        <v>2982.5</v>
      </c>
      <c r="I192" s="77">
        <f>[50]对账!$B$66</f>
        <v>3284.6</v>
      </c>
      <c r="J192" s="64">
        <f t="shared" si="80"/>
        <v>20.4000000000001</v>
      </c>
      <c r="K192" s="101"/>
    </row>
    <row r="193" customHeight="1" spans="1:11">
      <c r="A193" s="63">
        <v>43706</v>
      </c>
      <c r="B193" s="8" t="s">
        <v>18</v>
      </c>
      <c r="C193" s="8" t="s">
        <v>20</v>
      </c>
      <c r="D193" s="64">
        <f t="shared" si="78"/>
        <v>4793</v>
      </c>
      <c r="E193" s="6"/>
      <c r="F193" s="6"/>
      <c r="G193" s="65">
        <v>3651</v>
      </c>
      <c r="H193" s="66">
        <f t="shared" si="79"/>
        <v>1142</v>
      </c>
      <c r="I193" s="77">
        <f>[51]账单!$E$32</f>
        <v>3651.2</v>
      </c>
      <c r="J193" s="64">
        <f t="shared" si="80"/>
        <v>-0.200000000003456</v>
      </c>
      <c r="K193" s="80"/>
    </row>
    <row r="194" customHeight="1" spans="1:11">
      <c r="A194" s="63">
        <v>43706</v>
      </c>
      <c r="B194" s="8" t="s">
        <v>18</v>
      </c>
      <c r="C194" s="8" t="s">
        <v>40</v>
      </c>
      <c r="D194" s="64">
        <f t="shared" si="78"/>
        <v>3987</v>
      </c>
      <c r="E194" s="6"/>
      <c r="F194" s="6">
        <v>58</v>
      </c>
      <c r="G194" s="65">
        <v>904</v>
      </c>
      <c r="H194" s="66">
        <f>D194+E194+F194-G194</f>
        <v>3141</v>
      </c>
      <c r="I194" s="77">
        <f>[52]账单!$E$31</f>
        <v>846.4</v>
      </c>
      <c r="J194" s="64">
        <f t="shared" si="80"/>
        <v>57.6000000000001</v>
      </c>
      <c r="K194" s="80" t="s">
        <v>62</v>
      </c>
    </row>
    <row r="195" customHeight="1" spans="1:11">
      <c r="A195" s="67">
        <v>43706</v>
      </c>
      <c r="B195" s="68"/>
      <c r="C195" s="68" t="s">
        <v>41</v>
      </c>
      <c r="D195" s="69">
        <f t="shared" si="78"/>
        <v>6445</v>
      </c>
      <c r="E195" s="70"/>
      <c r="F195" s="70"/>
      <c r="G195" s="71">
        <v>0</v>
      </c>
      <c r="H195" s="72">
        <f>D195+E195+F195-G195</f>
        <v>6445</v>
      </c>
      <c r="I195" s="81">
        <v>0</v>
      </c>
      <c r="J195" s="69">
        <f t="shared" si="80"/>
        <v>0</v>
      </c>
      <c r="K195" s="82"/>
    </row>
    <row r="196" customHeight="1" spans="1:11">
      <c r="A196" s="99" t="s">
        <v>0</v>
      </c>
      <c r="B196" s="60" t="s">
        <v>1</v>
      </c>
      <c r="C196" s="60" t="s">
        <v>2</v>
      </c>
      <c r="D196" s="59" t="s">
        <v>3</v>
      </c>
      <c r="E196" s="60" t="s">
        <v>4</v>
      </c>
      <c r="F196" s="60" t="s">
        <v>5</v>
      </c>
      <c r="G196" s="61" t="s">
        <v>6</v>
      </c>
      <c r="H196" s="62" t="s">
        <v>7</v>
      </c>
      <c r="I196" s="75" t="s">
        <v>8</v>
      </c>
      <c r="J196" s="59" t="s">
        <v>9</v>
      </c>
      <c r="K196" s="100" t="s">
        <v>10</v>
      </c>
    </row>
    <row r="197" customHeight="1" spans="1:11">
      <c r="A197" s="63">
        <v>43707</v>
      </c>
      <c r="B197" s="8" t="s">
        <v>11</v>
      </c>
      <c r="C197" s="8" t="s">
        <v>12</v>
      </c>
      <c r="D197" s="64">
        <f t="shared" ref="D197:D202" si="81">H190</f>
        <v>2433.7</v>
      </c>
      <c r="E197" s="6"/>
      <c r="F197" s="6"/>
      <c r="G197" s="65">
        <v>0</v>
      </c>
      <c r="H197" s="66">
        <f t="shared" ref="H197:H200" si="82">D197-G197+E197+F197</f>
        <v>2433.7</v>
      </c>
      <c r="I197" s="77">
        <v>0</v>
      </c>
      <c r="J197" s="64">
        <f t="shared" ref="J197:J202" si="83">G197-I197</f>
        <v>0</v>
      </c>
      <c r="K197" s="80"/>
    </row>
    <row r="198" customHeight="1" spans="1:11">
      <c r="A198" s="63">
        <v>43707</v>
      </c>
      <c r="B198" s="8" t="s">
        <v>15</v>
      </c>
      <c r="C198" s="8" t="s">
        <v>16</v>
      </c>
      <c r="D198" s="64">
        <f t="shared" si="81"/>
        <v>658</v>
      </c>
      <c r="E198" s="6"/>
      <c r="F198" s="6"/>
      <c r="G198" s="65">
        <v>624</v>
      </c>
      <c r="H198" s="66">
        <f t="shared" si="82"/>
        <v>34</v>
      </c>
      <c r="I198" s="77">
        <f>[53]好评返现对账!$B$73</f>
        <v>361.4</v>
      </c>
      <c r="J198" s="64">
        <f t="shared" si="83"/>
        <v>262.6</v>
      </c>
      <c r="K198" s="80"/>
    </row>
    <row r="199" customHeight="1" spans="1:11">
      <c r="A199" s="63">
        <v>43707</v>
      </c>
      <c r="B199" s="8" t="s">
        <v>31</v>
      </c>
      <c r="C199" s="8" t="s">
        <v>19</v>
      </c>
      <c r="D199" s="64">
        <f t="shared" si="81"/>
        <v>2982.5</v>
      </c>
      <c r="E199" s="6">
        <v>10000</v>
      </c>
      <c r="F199" s="6"/>
      <c r="G199" s="65">
        <v>2993</v>
      </c>
      <c r="H199" s="66">
        <f t="shared" si="82"/>
        <v>9989.5</v>
      </c>
      <c r="I199" s="77">
        <f>[50]对账!$B$67</f>
        <v>3451.9</v>
      </c>
      <c r="J199" s="64">
        <f t="shared" si="83"/>
        <v>-458.9</v>
      </c>
      <c r="K199" s="101" t="s">
        <v>63</v>
      </c>
    </row>
    <row r="200" customHeight="1" spans="1:11">
      <c r="A200" s="63">
        <v>43707</v>
      </c>
      <c r="B200" s="8" t="s">
        <v>18</v>
      </c>
      <c r="C200" s="8" t="s">
        <v>20</v>
      </c>
      <c r="D200" s="64">
        <f t="shared" si="81"/>
        <v>1142</v>
      </c>
      <c r="E200" s="6">
        <v>10000</v>
      </c>
      <c r="F200" s="6"/>
      <c r="G200" s="65">
        <v>846</v>
      </c>
      <c r="H200" s="66">
        <f t="shared" si="82"/>
        <v>10296</v>
      </c>
      <c r="I200" s="77">
        <f>[51]账单!$E$33</f>
        <v>845.8</v>
      </c>
      <c r="J200" s="64">
        <f t="shared" si="83"/>
        <v>0.200000000000045</v>
      </c>
      <c r="K200" s="80"/>
    </row>
    <row r="201" customHeight="1" spans="1:11">
      <c r="A201" s="63">
        <v>43707</v>
      </c>
      <c r="B201" s="8" t="s">
        <v>18</v>
      </c>
      <c r="C201" s="8" t="s">
        <v>40</v>
      </c>
      <c r="D201" s="64">
        <f t="shared" si="81"/>
        <v>3141</v>
      </c>
      <c r="E201" s="6">
        <v>10000</v>
      </c>
      <c r="F201" s="6"/>
      <c r="G201" s="65">
        <v>3385</v>
      </c>
      <c r="H201" s="66">
        <f>D201+E201+F201-G201</f>
        <v>9756</v>
      </c>
      <c r="I201" s="77">
        <f>[52]账单!$E$32</f>
        <v>3384.8</v>
      </c>
      <c r="J201" s="64">
        <f t="shared" si="83"/>
        <v>0.199999999997999</v>
      </c>
      <c r="K201" s="80"/>
    </row>
    <row r="202" customHeight="1" spans="1:11">
      <c r="A202" s="67">
        <v>43707</v>
      </c>
      <c r="B202" s="68"/>
      <c r="C202" s="68" t="s">
        <v>41</v>
      </c>
      <c r="D202" s="69">
        <f t="shared" si="81"/>
        <v>6445</v>
      </c>
      <c r="E202" s="70"/>
      <c r="F202" s="70"/>
      <c r="G202" s="71">
        <v>0</v>
      </c>
      <c r="H202" s="72">
        <f>D202+E202+F202-G202</f>
        <v>6445</v>
      </c>
      <c r="I202" s="81">
        <v>0</v>
      </c>
      <c r="J202" s="69">
        <f t="shared" si="83"/>
        <v>0</v>
      </c>
      <c r="K202" s="82"/>
    </row>
    <row r="203" customHeight="1" spans="1:11">
      <c r="A203" s="99" t="s">
        <v>0</v>
      </c>
      <c r="B203" s="60" t="s">
        <v>1</v>
      </c>
      <c r="C203" s="60" t="s">
        <v>2</v>
      </c>
      <c r="D203" s="59" t="s">
        <v>3</v>
      </c>
      <c r="E203" s="60" t="s">
        <v>4</v>
      </c>
      <c r="F203" s="60" t="s">
        <v>5</v>
      </c>
      <c r="G203" s="61" t="s">
        <v>6</v>
      </c>
      <c r="H203" s="62" t="s">
        <v>7</v>
      </c>
      <c r="I203" s="75" t="s">
        <v>8</v>
      </c>
      <c r="J203" s="59" t="s">
        <v>9</v>
      </c>
      <c r="K203" s="100" t="s">
        <v>10</v>
      </c>
    </row>
    <row r="204" customHeight="1" spans="1:11">
      <c r="A204" s="63">
        <v>43708</v>
      </c>
      <c r="B204" s="8" t="s">
        <v>11</v>
      </c>
      <c r="C204" s="8" t="s">
        <v>12</v>
      </c>
      <c r="D204" s="64">
        <f t="shared" ref="D204:D209" si="84">H197</f>
        <v>2433.7</v>
      </c>
      <c r="E204" s="6"/>
      <c r="F204" s="6"/>
      <c r="G204" s="65">
        <v>0</v>
      </c>
      <c r="H204" s="66">
        <f t="shared" ref="H204:H207" si="85">D204-G204+E204+F204</f>
        <v>2433.7</v>
      </c>
      <c r="I204" s="77">
        <v>0</v>
      </c>
      <c r="J204" s="64">
        <f t="shared" ref="J204:J209" si="86">G204-I204</f>
        <v>0</v>
      </c>
      <c r="K204" s="80"/>
    </row>
    <row r="205" customHeight="1" spans="1:11">
      <c r="A205" s="63">
        <v>43708</v>
      </c>
      <c r="B205" s="8" t="s">
        <v>15</v>
      </c>
      <c r="C205" s="8" t="s">
        <v>16</v>
      </c>
      <c r="D205" s="64">
        <f t="shared" si="84"/>
        <v>34</v>
      </c>
      <c r="E205" s="6"/>
      <c r="F205" s="6"/>
      <c r="G205" s="65">
        <v>0</v>
      </c>
      <c r="H205" s="66">
        <f t="shared" si="85"/>
        <v>34</v>
      </c>
      <c r="I205" s="77">
        <v>0</v>
      </c>
      <c r="J205" s="64">
        <f t="shared" si="86"/>
        <v>0</v>
      </c>
      <c r="K205" s="80"/>
    </row>
    <row r="206" customHeight="1" spans="1:11">
      <c r="A206" s="63">
        <v>43708</v>
      </c>
      <c r="B206" s="8" t="s">
        <v>31</v>
      </c>
      <c r="C206" s="8" t="s">
        <v>19</v>
      </c>
      <c r="D206" s="64">
        <f t="shared" si="84"/>
        <v>9989.5</v>
      </c>
      <c r="E206" s="6"/>
      <c r="F206" s="6"/>
      <c r="G206" s="65">
        <f>3181+61</f>
        <v>3242</v>
      </c>
      <c r="H206" s="66">
        <f t="shared" si="85"/>
        <v>6747.5</v>
      </c>
      <c r="I206" s="77">
        <f>[54]对账!$B$68</f>
        <v>3242</v>
      </c>
      <c r="J206" s="64">
        <f t="shared" si="86"/>
        <v>0</v>
      </c>
      <c r="K206" s="101"/>
    </row>
    <row r="207" customHeight="1" spans="1:11">
      <c r="A207" s="63">
        <v>43708</v>
      </c>
      <c r="B207" s="8" t="s">
        <v>18</v>
      </c>
      <c r="C207" s="8" t="s">
        <v>20</v>
      </c>
      <c r="D207" s="64">
        <f t="shared" si="84"/>
        <v>10296</v>
      </c>
      <c r="E207" s="6"/>
      <c r="F207" s="6"/>
      <c r="G207" s="65">
        <v>1468</v>
      </c>
      <c r="H207" s="66">
        <f t="shared" si="85"/>
        <v>8828</v>
      </c>
      <c r="I207" s="77">
        <f>[55]账单!$E$34</f>
        <v>1457.8</v>
      </c>
      <c r="J207" s="64">
        <f t="shared" si="86"/>
        <v>10.2000000000005</v>
      </c>
      <c r="K207" s="80" t="s">
        <v>61</v>
      </c>
    </row>
    <row r="208" customHeight="1" spans="1:11">
      <c r="A208" s="63">
        <v>43708</v>
      </c>
      <c r="B208" s="8" t="s">
        <v>18</v>
      </c>
      <c r="C208" s="8" t="s">
        <v>40</v>
      </c>
      <c r="D208" s="64">
        <f t="shared" si="84"/>
        <v>9756</v>
      </c>
      <c r="E208" s="6"/>
      <c r="F208" s="6"/>
      <c r="G208" s="65">
        <v>2605</v>
      </c>
      <c r="H208" s="66">
        <f>D208+E208+F208-G208</f>
        <v>7151</v>
      </c>
      <c r="I208" s="77">
        <v>2605</v>
      </c>
      <c r="J208" s="64">
        <f t="shared" si="86"/>
        <v>0</v>
      </c>
      <c r="K208" s="80"/>
    </row>
    <row r="209" customHeight="1" spans="1:11">
      <c r="A209" s="67">
        <v>43708</v>
      </c>
      <c r="B209" s="68"/>
      <c r="C209" s="68" t="s">
        <v>41</v>
      </c>
      <c r="D209" s="69">
        <f t="shared" si="84"/>
        <v>6445</v>
      </c>
      <c r="E209" s="70"/>
      <c r="F209" s="70"/>
      <c r="G209" s="71">
        <v>0</v>
      </c>
      <c r="H209" s="72">
        <f>D209+E209+F209-G209</f>
        <v>6445</v>
      </c>
      <c r="I209" s="81">
        <v>0</v>
      </c>
      <c r="J209" s="69">
        <f t="shared" si="86"/>
        <v>0</v>
      </c>
      <c r="K209" s="82"/>
    </row>
    <row r="210" customHeight="1" spans="1:11">
      <c r="A210" s="99" t="s">
        <v>0</v>
      </c>
      <c r="B210" s="60" t="s">
        <v>1</v>
      </c>
      <c r="C210" s="60" t="s">
        <v>2</v>
      </c>
      <c r="D210" s="59" t="s">
        <v>3</v>
      </c>
      <c r="E210" s="60" t="s">
        <v>4</v>
      </c>
      <c r="F210" s="60" t="s">
        <v>5</v>
      </c>
      <c r="G210" s="61" t="s">
        <v>6</v>
      </c>
      <c r="H210" s="62" t="s">
        <v>7</v>
      </c>
      <c r="I210" s="75" t="s">
        <v>8</v>
      </c>
      <c r="J210" s="59" t="s">
        <v>9</v>
      </c>
      <c r="K210" s="100" t="s">
        <v>10</v>
      </c>
    </row>
  </sheetData>
  <autoFilter ref="A1:K210">
    <extLst/>
  </autoFilter>
  <pageMargins left="0.75" right="0.75" top="1" bottom="1" header="0.5" footer="0.5"/>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0"/>
  <sheetViews>
    <sheetView topLeftCell="A10" workbookViewId="0">
      <selection activeCell="M8" sqref="M8"/>
    </sheetView>
  </sheetViews>
  <sheetFormatPr defaultColWidth="9" defaultRowHeight="20" customHeight="1"/>
  <cols>
    <col min="4" max="4" width="13.25" customWidth="1"/>
    <col min="7" max="7" width="12.25" customWidth="1"/>
    <col min="8" max="8" width="11.875" customWidth="1"/>
    <col min="9" max="9" width="11" customWidth="1"/>
    <col min="10" max="10" width="9.75" customWidth="1"/>
    <col min="11" max="11" width="34" customWidth="1"/>
    <col min="13" max="13" width="12.625"/>
  </cols>
  <sheetData>
    <row r="1" customHeight="1" spans="1:11">
      <c r="A1" s="99" t="s">
        <v>0</v>
      </c>
      <c r="B1" s="60" t="s">
        <v>1</v>
      </c>
      <c r="C1" s="60" t="s">
        <v>2</v>
      </c>
      <c r="D1" s="59" t="s">
        <v>3</v>
      </c>
      <c r="E1" s="60" t="s">
        <v>4</v>
      </c>
      <c r="F1" s="60" t="s">
        <v>5</v>
      </c>
      <c r="G1" s="61" t="s">
        <v>6</v>
      </c>
      <c r="H1" s="62" t="s">
        <v>7</v>
      </c>
      <c r="I1" s="75" t="s">
        <v>8</v>
      </c>
      <c r="J1" s="59" t="s">
        <v>9</v>
      </c>
      <c r="K1" s="100" t="s">
        <v>10</v>
      </c>
    </row>
    <row r="2" customHeight="1" spans="1:11">
      <c r="A2" s="63">
        <v>43709</v>
      </c>
      <c r="B2" s="8" t="s">
        <v>11</v>
      </c>
      <c r="C2" s="8" t="s">
        <v>12</v>
      </c>
      <c r="D2" s="64">
        <v>2433.7</v>
      </c>
      <c r="E2" s="6"/>
      <c r="F2" s="6"/>
      <c r="G2" s="65">
        <v>380</v>
      </c>
      <c r="H2" s="66">
        <f t="shared" ref="H2:H5" si="0">D2-G2+E2+F2</f>
        <v>2053.7</v>
      </c>
      <c r="I2" s="77">
        <v>385</v>
      </c>
      <c r="J2" s="64">
        <f t="shared" ref="J2:J7" si="1">G2-I2</f>
        <v>-5</v>
      </c>
      <c r="K2" s="80"/>
    </row>
    <row r="3" customHeight="1" spans="1:11">
      <c r="A3" s="63">
        <v>43709</v>
      </c>
      <c r="B3" s="8" t="s">
        <v>15</v>
      </c>
      <c r="C3" s="8" t="s">
        <v>16</v>
      </c>
      <c r="D3" s="64">
        <v>34</v>
      </c>
      <c r="E3" s="6">
        <v>10000</v>
      </c>
      <c r="F3" s="6"/>
      <c r="G3" s="65">
        <v>393</v>
      </c>
      <c r="H3" s="66">
        <f t="shared" si="0"/>
        <v>9641</v>
      </c>
      <c r="I3" s="77">
        <f>[59]好评返现对账!$B$77</f>
        <v>604</v>
      </c>
      <c r="J3" s="64">
        <f t="shared" si="1"/>
        <v>-211</v>
      </c>
      <c r="K3" s="80"/>
    </row>
    <row r="4" customHeight="1" spans="1:11">
      <c r="A4" s="63">
        <v>43709</v>
      </c>
      <c r="B4" s="8" t="s">
        <v>31</v>
      </c>
      <c r="C4" s="8" t="s">
        <v>19</v>
      </c>
      <c r="D4" s="64">
        <v>6747.5</v>
      </c>
      <c r="E4" s="6"/>
      <c r="F4" s="6">
        <v>63</v>
      </c>
      <c r="G4" s="65">
        <v>3593</v>
      </c>
      <c r="H4" s="66">
        <f t="shared" si="0"/>
        <v>3217.5</v>
      </c>
      <c r="I4" s="77">
        <f>[54]对账!$B$71</f>
        <v>3415</v>
      </c>
      <c r="J4" s="64">
        <f t="shared" si="1"/>
        <v>178</v>
      </c>
      <c r="K4" s="79" t="s">
        <v>30</v>
      </c>
    </row>
    <row r="5" customHeight="1" spans="1:11">
      <c r="A5" s="63">
        <v>43709</v>
      </c>
      <c r="B5" s="8" t="s">
        <v>18</v>
      </c>
      <c r="C5" s="8" t="s">
        <v>20</v>
      </c>
      <c r="D5" s="64">
        <v>8828</v>
      </c>
      <c r="E5" s="6"/>
      <c r="F5" s="6"/>
      <c r="G5" s="65">
        <v>5097</v>
      </c>
      <c r="H5" s="66">
        <f t="shared" si="0"/>
        <v>3731</v>
      </c>
      <c r="I5" s="77">
        <v>5097</v>
      </c>
      <c r="J5" s="64">
        <f t="shared" si="1"/>
        <v>0</v>
      </c>
      <c r="K5" s="80"/>
    </row>
    <row r="6" customHeight="1" spans="1:11">
      <c r="A6" s="63">
        <v>43709</v>
      </c>
      <c r="B6" s="8" t="s">
        <v>18</v>
      </c>
      <c r="C6" s="8" t="s">
        <v>40</v>
      </c>
      <c r="D6" s="64">
        <v>7151</v>
      </c>
      <c r="E6" s="6"/>
      <c r="F6" s="6"/>
      <c r="G6" s="65">
        <v>962</v>
      </c>
      <c r="H6" s="66">
        <f>D6+E6+F6-G6</f>
        <v>6189</v>
      </c>
      <c r="I6" s="77">
        <v>962</v>
      </c>
      <c r="J6" s="64">
        <f t="shared" si="1"/>
        <v>0</v>
      </c>
      <c r="K6" s="80"/>
    </row>
    <row r="7" customHeight="1" spans="1:11">
      <c r="A7" s="67">
        <v>43709</v>
      </c>
      <c r="B7" s="68"/>
      <c r="C7" s="68" t="s">
        <v>41</v>
      </c>
      <c r="D7" s="69">
        <v>6445</v>
      </c>
      <c r="E7" s="70"/>
      <c r="F7" s="70"/>
      <c r="G7" s="71">
        <v>0</v>
      </c>
      <c r="H7" s="72">
        <f>D7+E7+F7-G7</f>
        <v>6445</v>
      </c>
      <c r="I7" s="81">
        <v>0</v>
      </c>
      <c r="J7" s="69">
        <f t="shared" si="1"/>
        <v>0</v>
      </c>
      <c r="K7" s="82"/>
    </row>
    <row r="8" customHeight="1" spans="1:11">
      <c r="A8" s="99" t="s">
        <v>0</v>
      </c>
      <c r="B8" s="60" t="s">
        <v>1</v>
      </c>
      <c r="C8" s="60" t="s">
        <v>2</v>
      </c>
      <c r="D8" s="59" t="s">
        <v>3</v>
      </c>
      <c r="E8" s="60" t="s">
        <v>4</v>
      </c>
      <c r="F8" s="60" t="s">
        <v>5</v>
      </c>
      <c r="G8" s="61" t="s">
        <v>6</v>
      </c>
      <c r="H8" s="62" t="s">
        <v>7</v>
      </c>
      <c r="I8" s="75" t="s">
        <v>8</v>
      </c>
      <c r="J8" s="59" t="s">
        <v>9</v>
      </c>
      <c r="K8" s="100" t="s">
        <v>10</v>
      </c>
    </row>
    <row r="9" customHeight="1" spans="1:11">
      <c r="A9" s="63">
        <v>43710</v>
      </c>
      <c r="B9" s="8" t="s">
        <v>11</v>
      </c>
      <c r="C9" s="8" t="s">
        <v>12</v>
      </c>
      <c r="D9" s="64">
        <f>H2</f>
        <v>2053.7</v>
      </c>
      <c r="E9" s="6"/>
      <c r="F9" s="6"/>
      <c r="G9" s="65">
        <v>365</v>
      </c>
      <c r="H9" s="66">
        <f t="shared" ref="H9:H12" si="2">D9-G9+E9+F9</f>
        <v>1688.7</v>
      </c>
      <c r="I9" s="77">
        <f>[58]对账!$B$97</f>
        <v>365</v>
      </c>
      <c r="J9" s="64">
        <f t="shared" ref="J9:J14" si="3">G9-I9</f>
        <v>0</v>
      </c>
      <c r="K9" s="80"/>
    </row>
    <row r="10" customHeight="1" spans="1:11">
      <c r="A10" s="63">
        <v>43710</v>
      </c>
      <c r="B10" s="8" t="s">
        <v>15</v>
      </c>
      <c r="C10" s="8" t="s">
        <v>16</v>
      </c>
      <c r="D10" s="64">
        <f>H3</f>
        <v>9641</v>
      </c>
      <c r="E10" s="6"/>
      <c r="F10" s="6"/>
      <c r="G10" s="65">
        <v>674</v>
      </c>
      <c r="H10" s="66">
        <f t="shared" si="2"/>
        <v>8967</v>
      </c>
      <c r="I10" s="77">
        <f>[59]好评返现对账!$B$78</f>
        <v>389</v>
      </c>
      <c r="J10" s="64">
        <f t="shared" si="3"/>
        <v>285</v>
      </c>
      <c r="K10" s="80" t="s">
        <v>64</v>
      </c>
    </row>
    <row r="11" customHeight="1" spans="1:11">
      <c r="A11" s="63">
        <v>43710</v>
      </c>
      <c r="B11" s="8" t="s">
        <v>31</v>
      </c>
      <c r="C11" s="8" t="s">
        <v>19</v>
      </c>
      <c r="D11" s="64">
        <f t="shared" ref="D11:D21" si="4">H4</f>
        <v>3217.5</v>
      </c>
      <c r="E11" s="6"/>
      <c r="F11" s="6"/>
      <c r="G11" s="65">
        <v>3208</v>
      </c>
      <c r="H11" s="66">
        <f t="shared" si="2"/>
        <v>9.5</v>
      </c>
      <c r="I11" s="77">
        <v>3435</v>
      </c>
      <c r="J11" s="64">
        <f t="shared" si="3"/>
        <v>-227</v>
      </c>
      <c r="K11" s="79"/>
    </row>
    <row r="12" customHeight="1" spans="1:11">
      <c r="A12" s="63">
        <v>43710</v>
      </c>
      <c r="B12" s="8" t="s">
        <v>18</v>
      </c>
      <c r="C12" s="8" t="s">
        <v>20</v>
      </c>
      <c r="D12" s="64">
        <f t="shared" si="4"/>
        <v>3731</v>
      </c>
      <c r="E12" s="6"/>
      <c r="F12" s="6"/>
      <c r="G12" s="65">
        <v>2737</v>
      </c>
      <c r="H12" s="66">
        <f t="shared" si="2"/>
        <v>994</v>
      </c>
      <c r="I12" s="77">
        <f>[56]账单!$E$4</f>
        <v>2727</v>
      </c>
      <c r="J12" s="64">
        <f t="shared" si="3"/>
        <v>10</v>
      </c>
      <c r="K12" s="80" t="s">
        <v>61</v>
      </c>
    </row>
    <row r="13" customHeight="1" spans="1:11">
      <c r="A13" s="63">
        <v>43710</v>
      </c>
      <c r="B13" s="8" t="s">
        <v>18</v>
      </c>
      <c r="C13" s="8" t="s">
        <v>40</v>
      </c>
      <c r="D13" s="64">
        <f t="shared" si="4"/>
        <v>6189</v>
      </c>
      <c r="E13" s="6"/>
      <c r="F13" s="6"/>
      <c r="G13" s="65">
        <v>2183</v>
      </c>
      <c r="H13" s="66">
        <f>D13+E13+F13-G13</f>
        <v>4006</v>
      </c>
      <c r="I13" s="77">
        <f>[57]账单!$E$4</f>
        <v>2183</v>
      </c>
      <c r="J13" s="64">
        <f t="shared" si="3"/>
        <v>0</v>
      </c>
      <c r="K13" s="80"/>
    </row>
    <row r="14" customHeight="1" spans="1:11">
      <c r="A14" s="67">
        <v>43710</v>
      </c>
      <c r="B14" s="68"/>
      <c r="C14" s="68" t="s">
        <v>41</v>
      </c>
      <c r="D14" s="69">
        <f t="shared" si="4"/>
        <v>6445</v>
      </c>
      <c r="E14" s="70"/>
      <c r="F14" s="70"/>
      <c r="G14" s="71">
        <v>0</v>
      </c>
      <c r="H14" s="72">
        <f>D14+E14+F14-G14</f>
        <v>6445</v>
      </c>
      <c r="I14" s="81">
        <v>0</v>
      </c>
      <c r="J14" s="69">
        <f t="shared" si="3"/>
        <v>0</v>
      </c>
      <c r="K14" s="82"/>
    </row>
    <row r="15" customHeight="1" spans="1:11">
      <c r="A15" s="99" t="s">
        <v>0</v>
      </c>
      <c r="B15" s="60" t="s">
        <v>1</v>
      </c>
      <c r="C15" s="60" t="s">
        <v>2</v>
      </c>
      <c r="D15" s="59" t="s">
        <v>3</v>
      </c>
      <c r="E15" s="60" t="s">
        <v>4</v>
      </c>
      <c r="F15" s="60" t="s">
        <v>5</v>
      </c>
      <c r="G15" s="61" t="s">
        <v>6</v>
      </c>
      <c r="H15" s="62" t="s">
        <v>7</v>
      </c>
      <c r="I15" s="75" t="s">
        <v>8</v>
      </c>
      <c r="J15" s="59" t="s">
        <v>9</v>
      </c>
      <c r="K15" s="100" t="s">
        <v>10</v>
      </c>
    </row>
    <row r="16" customHeight="1" spans="1:11">
      <c r="A16" s="63">
        <v>43711</v>
      </c>
      <c r="B16" s="8" t="s">
        <v>11</v>
      </c>
      <c r="C16" s="8" t="s">
        <v>12</v>
      </c>
      <c r="D16" s="64">
        <f t="shared" si="4"/>
        <v>1688.7</v>
      </c>
      <c r="E16" s="6"/>
      <c r="F16" s="6"/>
      <c r="G16" s="65">
        <v>266</v>
      </c>
      <c r="H16" s="66">
        <f t="shared" ref="H16:H19" si="5">D16-G16+E16+F16</f>
        <v>1422.7</v>
      </c>
      <c r="I16" s="77">
        <f>[58]对账!$B$98</f>
        <v>266</v>
      </c>
      <c r="J16" s="64">
        <f t="shared" ref="J16:J21" si="6">G16-I16</f>
        <v>0</v>
      </c>
      <c r="K16" s="80"/>
    </row>
    <row r="17" customHeight="1" spans="1:11">
      <c r="A17" s="63">
        <v>43711</v>
      </c>
      <c r="B17" s="8" t="s">
        <v>15</v>
      </c>
      <c r="C17" s="8" t="s">
        <v>16</v>
      </c>
      <c r="D17" s="64">
        <f t="shared" si="4"/>
        <v>8967</v>
      </c>
      <c r="E17" s="6"/>
      <c r="F17" s="6"/>
      <c r="G17" s="65">
        <v>118</v>
      </c>
      <c r="H17" s="66">
        <f t="shared" si="5"/>
        <v>8849</v>
      </c>
      <c r="I17" s="77">
        <f>[59]好评返现对账!$B$79</f>
        <v>84</v>
      </c>
      <c r="J17" s="64">
        <f t="shared" si="6"/>
        <v>34</v>
      </c>
      <c r="K17" s="80"/>
    </row>
    <row r="18" customHeight="1" spans="1:11">
      <c r="A18" s="63">
        <v>43711</v>
      </c>
      <c r="B18" s="8" t="s">
        <v>31</v>
      </c>
      <c r="C18" s="8" t="s">
        <v>19</v>
      </c>
      <c r="D18" s="64">
        <f t="shared" si="4"/>
        <v>9.5</v>
      </c>
      <c r="E18" s="6">
        <v>10000</v>
      </c>
      <c r="F18" s="6"/>
      <c r="G18" s="65">
        <v>3814</v>
      </c>
      <c r="H18" s="66">
        <f t="shared" si="5"/>
        <v>6195.5</v>
      </c>
      <c r="I18" s="77">
        <f>[60]对账!$B$73</f>
        <v>3755</v>
      </c>
      <c r="J18" s="64">
        <f t="shared" si="6"/>
        <v>59</v>
      </c>
      <c r="K18" s="79"/>
    </row>
    <row r="19" customHeight="1" spans="1:11">
      <c r="A19" s="63">
        <v>43711</v>
      </c>
      <c r="B19" s="8" t="s">
        <v>18</v>
      </c>
      <c r="C19" s="8" t="s">
        <v>20</v>
      </c>
      <c r="D19" s="64">
        <f t="shared" si="4"/>
        <v>994</v>
      </c>
      <c r="E19" s="6">
        <v>10000</v>
      </c>
      <c r="F19" s="6"/>
      <c r="G19" s="65">
        <v>1644</v>
      </c>
      <c r="H19" s="66">
        <f t="shared" si="5"/>
        <v>9350</v>
      </c>
      <c r="I19" s="77">
        <f>[56]账单!$E$5</f>
        <v>1644</v>
      </c>
      <c r="J19" s="64">
        <f t="shared" si="6"/>
        <v>0</v>
      </c>
      <c r="K19" s="80"/>
    </row>
    <row r="20" customHeight="1" spans="1:11">
      <c r="A20" s="63">
        <v>43711</v>
      </c>
      <c r="B20" s="8" t="s">
        <v>18</v>
      </c>
      <c r="C20" s="8" t="s">
        <v>40</v>
      </c>
      <c r="D20" s="64">
        <f t="shared" si="4"/>
        <v>4006</v>
      </c>
      <c r="E20" s="6">
        <v>10000</v>
      </c>
      <c r="F20" s="6"/>
      <c r="G20" s="65">
        <v>3047</v>
      </c>
      <c r="H20" s="66">
        <f>D20+E20+F20-G20</f>
        <v>10959</v>
      </c>
      <c r="I20" s="77">
        <f>[57]账单!$E$5</f>
        <v>3047</v>
      </c>
      <c r="J20" s="64">
        <f t="shared" si="6"/>
        <v>0</v>
      </c>
      <c r="K20" s="80"/>
    </row>
    <row r="21" customHeight="1" spans="1:11">
      <c r="A21" s="67">
        <v>43711</v>
      </c>
      <c r="B21" s="68"/>
      <c r="C21" s="68" t="s">
        <v>41</v>
      </c>
      <c r="D21" s="69">
        <f t="shared" si="4"/>
        <v>6445</v>
      </c>
      <c r="E21" s="70"/>
      <c r="F21" s="70"/>
      <c r="G21" s="71">
        <v>0</v>
      </c>
      <c r="H21" s="72">
        <f>D21+E21+F21-G21</f>
        <v>6445</v>
      </c>
      <c r="I21" s="81">
        <v>0</v>
      </c>
      <c r="J21" s="69">
        <f t="shared" si="6"/>
        <v>0</v>
      </c>
      <c r="K21" s="82"/>
    </row>
    <row r="22" customHeight="1" spans="1:11">
      <c r="A22" s="99" t="s">
        <v>0</v>
      </c>
      <c r="B22" s="60" t="s">
        <v>1</v>
      </c>
      <c r="C22" s="60" t="s">
        <v>2</v>
      </c>
      <c r="D22" s="59" t="s">
        <v>3</v>
      </c>
      <c r="E22" s="60" t="s">
        <v>4</v>
      </c>
      <c r="F22" s="60" t="s">
        <v>5</v>
      </c>
      <c r="G22" s="61" t="s">
        <v>6</v>
      </c>
      <c r="H22" s="62" t="s">
        <v>7</v>
      </c>
      <c r="I22" s="75" t="s">
        <v>8</v>
      </c>
      <c r="J22" s="59" t="s">
        <v>9</v>
      </c>
      <c r="K22" s="100" t="s">
        <v>10</v>
      </c>
    </row>
    <row r="23" customHeight="1" spans="1:11">
      <c r="A23" s="63">
        <v>43712</v>
      </c>
      <c r="B23" s="8" t="s">
        <v>11</v>
      </c>
      <c r="C23" s="8" t="s">
        <v>12</v>
      </c>
      <c r="D23" s="64">
        <f t="shared" ref="D23:D28" si="7">H16</f>
        <v>1422.7</v>
      </c>
      <c r="E23" s="6"/>
      <c r="F23" s="6"/>
      <c r="G23" s="65">
        <v>336</v>
      </c>
      <c r="H23" s="66">
        <f t="shared" ref="H23:H26" si="8">D23-G23+E23+F23</f>
        <v>1086.7</v>
      </c>
      <c r="I23" s="77">
        <f>[58]对账!$B$99</f>
        <v>336</v>
      </c>
      <c r="J23" s="64">
        <f t="shared" ref="J23:J28" si="9">G23-I23</f>
        <v>0</v>
      </c>
      <c r="K23" s="80"/>
    </row>
    <row r="24" customHeight="1" spans="1:11">
      <c r="A24" s="63">
        <v>43712</v>
      </c>
      <c r="B24" s="8" t="s">
        <v>65</v>
      </c>
      <c r="C24" s="8" t="s">
        <v>16</v>
      </c>
      <c r="D24" s="64">
        <f t="shared" si="7"/>
        <v>8849</v>
      </c>
      <c r="E24" s="6"/>
      <c r="F24" s="6"/>
      <c r="G24" s="65">
        <v>313</v>
      </c>
      <c r="H24" s="66">
        <f t="shared" si="8"/>
        <v>8536</v>
      </c>
      <c r="I24" s="77">
        <f>[59]好评返现对账!$B$80</f>
        <v>343</v>
      </c>
      <c r="J24" s="64">
        <f t="shared" si="9"/>
        <v>-30</v>
      </c>
      <c r="K24" s="80"/>
    </row>
    <row r="25" customHeight="1" spans="1:11">
      <c r="A25" s="63">
        <v>43712</v>
      </c>
      <c r="B25" s="8" t="s">
        <v>31</v>
      </c>
      <c r="C25" s="8" t="s">
        <v>19</v>
      </c>
      <c r="D25" s="64">
        <f t="shared" si="7"/>
        <v>6195.5</v>
      </c>
      <c r="E25" s="6"/>
      <c r="F25" s="6"/>
      <c r="G25" s="65">
        <v>4142</v>
      </c>
      <c r="H25" s="66">
        <f t="shared" si="8"/>
        <v>2053.5</v>
      </c>
      <c r="I25" s="77">
        <f>[60]对账!$B$74</f>
        <v>4142</v>
      </c>
      <c r="J25" s="64">
        <f t="shared" si="9"/>
        <v>0</v>
      </c>
      <c r="K25" s="79"/>
    </row>
    <row r="26" customHeight="1" spans="1:11">
      <c r="A26" s="63">
        <v>43712</v>
      </c>
      <c r="B26" s="8" t="s">
        <v>18</v>
      </c>
      <c r="C26" s="8" t="s">
        <v>20</v>
      </c>
      <c r="D26" s="64">
        <f t="shared" si="7"/>
        <v>9350</v>
      </c>
      <c r="E26" s="6"/>
      <c r="F26" s="6"/>
      <c r="G26" s="65">
        <f>3804+4</f>
        <v>3808</v>
      </c>
      <c r="H26" s="66">
        <f t="shared" si="8"/>
        <v>5542</v>
      </c>
      <c r="I26" s="77">
        <f>[56]账单!$E$6</f>
        <v>3804</v>
      </c>
      <c r="J26" s="64">
        <f t="shared" si="9"/>
        <v>4</v>
      </c>
      <c r="K26" s="80" t="s">
        <v>66</v>
      </c>
    </row>
    <row r="27" customHeight="1" spans="1:11">
      <c r="A27" s="63">
        <v>43712</v>
      </c>
      <c r="B27" s="8" t="s">
        <v>18</v>
      </c>
      <c r="C27" s="8" t="s">
        <v>40</v>
      </c>
      <c r="D27" s="64">
        <f t="shared" si="7"/>
        <v>10959</v>
      </c>
      <c r="E27" s="6"/>
      <c r="F27" s="6"/>
      <c r="G27" s="65">
        <v>874</v>
      </c>
      <c r="H27" s="66">
        <f>D27+E27+F27-G27</f>
        <v>10085</v>
      </c>
      <c r="I27" s="77">
        <f>[57]账单!$E$6</f>
        <v>874</v>
      </c>
      <c r="J27" s="64">
        <f t="shared" si="9"/>
        <v>0</v>
      </c>
      <c r="K27" s="80"/>
    </row>
    <row r="28" customHeight="1" spans="1:11">
      <c r="A28" s="67">
        <v>43712</v>
      </c>
      <c r="B28" s="68"/>
      <c r="C28" s="68" t="s">
        <v>41</v>
      </c>
      <c r="D28" s="69">
        <f t="shared" si="7"/>
        <v>6445</v>
      </c>
      <c r="E28" s="70"/>
      <c r="F28" s="70"/>
      <c r="G28" s="71">
        <v>0</v>
      </c>
      <c r="H28" s="72">
        <f>D28+E28+F28-G28</f>
        <v>6445</v>
      </c>
      <c r="I28" s="81">
        <v>0</v>
      </c>
      <c r="J28" s="69">
        <f t="shared" si="9"/>
        <v>0</v>
      </c>
      <c r="K28" s="82"/>
    </row>
    <row r="29" customHeight="1" spans="1:11">
      <c r="A29" s="99" t="s">
        <v>0</v>
      </c>
      <c r="B29" s="60" t="s">
        <v>1</v>
      </c>
      <c r="C29" s="60" t="s">
        <v>2</v>
      </c>
      <c r="D29" s="59" t="s">
        <v>3</v>
      </c>
      <c r="E29" s="60" t="s">
        <v>4</v>
      </c>
      <c r="F29" s="60" t="s">
        <v>5</v>
      </c>
      <c r="G29" s="61" t="s">
        <v>6</v>
      </c>
      <c r="H29" s="62" t="s">
        <v>7</v>
      </c>
      <c r="I29" s="75" t="s">
        <v>8</v>
      </c>
      <c r="J29" s="59" t="s">
        <v>9</v>
      </c>
      <c r="K29" s="100" t="s">
        <v>10</v>
      </c>
    </row>
    <row r="30" customHeight="1" spans="1:11">
      <c r="A30" s="63">
        <v>43713</v>
      </c>
      <c r="B30" s="8" t="s">
        <v>11</v>
      </c>
      <c r="C30" s="8" t="s">
        <v>12</v>
      </c>
      <c r="D30" s="64">
        <f t="shared" ref="D30:D35" si="10">H23</f>
        <v>1086.7</v>
      </c>
      <c r="E30" s="6"/>
      <c r="F30" s="6"/>
      <c r="G30" s="65">
        <v>183</v>
      </c>
      <c r="H30" s="66">
        <f t="shared" ref="H30:H33" si="11">D30-G30+E30+F30</f>
        <v>903.700000000001</v>
      </c>
      <c r="I30" s="77">
        <f>[64]对账!$B$100</f>
        <v>183</v>
      </c>
      <c r="J30" s="64">
        <f t="shared" ref="J30:J35" si="12">G30-I30</f>
        <v>0</v>
      </c>
      <c r="K30" s="80"/>
    </row>
    <row r="31" customHeight="1" spans="1:11">
      <c r="A31" s="63">
        <v>43713</v>
      </c>
      <c r="B31" s="8" t="s">
        <v>65</v>
      </c>
      <c r="C31" s="8" t="s">
        <v>16</v>
      </c>
      <c r="D31" s="64">
        <f t="shared" si="10"/>
        <v>8536</v>
      </c>
      <c r="E31" s="6"/>
      <c r="F31" s="6"/>
      <c r="G31" s="65">
        <v>723</v>
      </c>
      <c r="H31" s="66">
        <f t="shared" si="11"/>
        <v>7813</v>
      </c>
      <c r="I31" s="77">
        <f>[65]好评返现对账!$B$81</f>
        <v>718</v>
      </c>
      <c r="J31" s="64">
        <f t="shared" si="12"/>
        <v>5</v>
      </c>
      <c r="K31" s="80"/>
    </row>
    <row r="32" customHeight="1" spans="1:11">
      <c r="A32" s="63">
        <v>43713</v>
      </c>
      <c r="B32" s="8" t="s">
        <v>31</v>
      </c>
      <c r="C32" s="8" t="s">
        <v>19</v>
      </c>
      <c r="D32" s="64">
        <f t="shared" si="10"/>
        <v>2053.5</v>
      </c>
      <c r="E32" s="6">
        <v>10000</v>
      </c>
      <c r="F32" s="6"/>
      <c r="G32" s="65">
        <v>3504</v>
      </c>
      <c r="H32" s="66">
        <f t="shared" si="11"/>
        <v>8549.5</v>
      </c>
      <c r="I32" s="77">
        <f>[63]对账!$B$75</f>
        <v>3504</v>
      </c>
      <c r="J32" s="64">
        <f t="shared" si="12"/>
        <v>0</v>
      </c>
      <c r="K32" s="79"/>
    </row>
    <row r="33" customHeight="1" spans="1:11">
      <c r="A33" s="63">
        <v>43713</v>
      </c>
      <c r="B33" s="8" t="s">
        <v>18</v>
      </c>
      <c r="C33" s="8" t="s">
        <v>20</v>
      </c>
      <c r="D33" s="64">
        <f t="shared" si="10"/>
        <v>5542</v>
      </c>
      <c r="E33" s="6"/>
      <c r="F33" s="6"/>
      <c r="G33" s="65">
        <v>2354</v>
      </c>
      <c r="H33" s="66">
        <f t="shared" si="11"/>
        <v>3188</v>
      </c>
      <c r="I33" s="77">
        <v>2354</v>
      </c>
      <c r="J33" s="64">
        <f t="shared" si="12"/>
        <v>0</v>
      </c>
      <c r="K33" s="80"/>
    </row>
    <row r="34" customHeight="1" spans="1:11">
      <c r="A34" s="63">
        <v>43713</v>
      </c>
      <c r="B34" s="8" t="s">
        <v>18</v>
      </c>
      <c r="C34" s="8" t="s">
        <v>40</v>
      </c>
      <c r="D34" s="64">
        <f t="shared" si="10"/>
        <v>10085</v>
      </c>
      <c r="E34" s="6"/>
      <c r="F34" s="6"/>
      <c r="G34" s="65">
        <v>2224</v>
      </c>
      <c r="H34" s="66">
        <f>D34+E34+F34-G34</f>
        <v>7861</v>
      </c>
      <c r="I34" s="77">
        <f>[62]账单!$E$7</f>
        <v>2224</v>
      </c>
      <c r="J34" s="64">
        <f t="shared" si="12"/>
        <v>0</v>
      </c>
      <c r="K34" s="80"/>
    </row>
    <row r="35" customHeight="1" spans="1:11">
      <c r="A35" s="67">
        <v>43713</v>
      </c>
      <c r="B35" s="68"/>
      <c r="C35" s="68" t="s">
        <v>41</v>
      </c>
      <c r="D35" s="69">
        <f t="shared" si="10"/>
        <v>6445</v>
      </c>
      <c r="E35" s="70"/>
      <c r="F35" s="70"/>
      <c r="G35" s="71">
        <v>0</v>
      </c>
      <c r="H35" s="72">
        <f>D35+E35+F35-G35</f>
        <v>6445</v>
      </c>
      <c r="I35" s="81">
        <v>0</v>
      </c>
      <c r="J35" s="69">
        <f t="shared" si="12"/>
        <v>0</v>
      </c>
      <c r="K35" s="82"/>
    </row>
    <row r="36" customHeight="1" spans="1:11">
      <c r="A36" s="99" t="s">
        <v>0</v>
      </c>
      <c r="B36" s="60" t="s">
        <v>1</v>
      </c>
      <c r="C36" s="60" t="s">
        <v>2</v>
      </c>
      <c r="D36" s="59" t="s">
        <v>3</v>
      </c>
      <c r="E36" s="60" t="s">
        <v>4</v>
      </c>
      <c r="F36" s="60" t="s">
        <v>5</v>
      </c>
      <c r="G36" s="61">
        <v>1572</v>
      </c>
      <c r="H36" s="62" t="s">
        <v>7</v>
      </c>
      <c r="I36" s="75" t="s">
        <v>8</v>
      </c>
      <c r="J36" s="59" t="s">
        <v>9</v>
      </c>
      <c r="K36" s="100" t="s">
        <v>10</v>
      </c>
    </row>
    <row r="37" customHeight="1" spans="1:11">
      <c r="A37" s="63">
        <v>43714</v>
      </c>
      <c r="B37" s="8" t="s">
        <v>11</v>
      </c>
      <c r="C37" s="8" t="s">
        <v>12</v>
      </c>
      <c r="D37" s="64">
        <f t="shared" ref="D37:D42" si="13">H30</f>
        <v>903.700000000001</v>
      </c>
      <c r="E37" s="6"/>
      <c r="F37" s="6"/>
      <c r="G37" s="65">
        <v>158</v>
      </c>
      <c r="H37" s="66">
        <f t="shared" ref="H37:H40" si="14">D37-G37+E37+F37</f>
        <v>745.700000000001</v>
      </c>
      <c r="I37" s="77">
        <f>[64]对账!$B$101</f>
        <v>158</v>
      </c>
      <c r="J37" s="64">
        <f t="shared" ref="J37:J42" si="15">G37-I37</f>
        <v>0</v>
      </c>
      <c r="K37" s="80"/>
    </row>
    <row r="38" customHeight="1" spans="1:11">
      <c r="A38" s="63">
        <v>43714</v>
      </c>
      <c r="B38" s="8" t="s">
        <v>65</v>
      </c>
      <c r="C38" s="8" t="s">
        <v>16</v>
      </c>
      <c r="D38" s="64">
        <f t="shared" si="13"/>
        <v>7813</v>
      </c>
      <c r="E38" s="6"/>
      <c r="F38" s="6"/>
      <c r="G38" s="65">
        <v>99</v>
      </c>
      <c r="H38" s="66">
        <f t="shared" si="14"/>
        <v>7714</v>
      </c>
      <c r="I38" s="77">
        <f>[65]好评返现对账!$B$82</f>
        <v>94</v>
      </c>
      <c r="J38" s="64">
        <f t="shared" si="15"/>
        <v>5</v>
      </c>
      <c r="K38" s="80"/>
    </row>
    <row r="39" customHeight="1" spans="1:11">
      <c r="A39" s="63">
        <v>43714</v>
      </c>
      <c r="B39" s="8" t="s">
        <v>31</v>
      </c>
      <c r="C39" s="8" t="s">
        <v>19</v>
      </c>
      <c r="D39" s="64">
        <f t="shared" si="13"/>
        <v>8549.5</v>
      </c>
      <c r="E39" s="6"/>
      <c r="F39" s="6"/>
      <c r="G39" s="65">
        <v>3548</v>
      </c>
      <c r="H39" s="66">
        <f t="shared" si="14"/>
        <v>5001.5</v>
      </c>
      <c r="I39" s="77">
        <f>[63]对账!$B$76</f>
        <v>3602</v>
      </c>
      <c r="J39" s="64">
        <f t="shared" si="15"/>
        <v>-54</v>
      </c>
      <c r="K39" s="79" t="s">
        <v>17</v>
      </c>
    </row>
    <row r="40" customHeight="1" spans="1:11">
      <c r="A40" s="63">
        <v>43714</v>
      </c>
      <c r="B40" s="8" t="s">
        <v>18</v>
      </c>
      <c r="C40" s="8" t="s">
        <v>20</v>
      </c>
      <c r="D40" s="64">
        <f t="shared" si="13"/>
        <v>3188</v>
      </c>
      <c r="E40" s="6"/>
      <c r="F40" s="6"/>
      <c r="G40" s="65">
        <f>[61]账单!$E$8</f>
        <v>3156</v>
      </c>
      <c r="H40" s="66">
        <f t="shared" si="14"/>
        <v>32</v>
      </c>
      <c r="I40" s="77">
        <v>3156</v>
      </c>
      <c r="J40" s="64">
        <f t="shared" si="15"/>
        <v>0</v>
      </c>
      <c r="K40" s="80"/>
    </row>
    <row r="41" customHeight="1" spans="1:11">
      <c r="A41" s="63">
        <v>43714</v>
      </c>
      <c r="B41" s="8" t="s">
        <v>18</v>
      </c>
      <c r="C41" s="8" t="s">
        <v>40</v>
      </c>
      <c r="D41" s="64">
        <f t="shared" si="13"/>
        <v>7861</v>
      </c>
      <c r="E41" s="6"/>
      <c r="F41" s="6"/>
      <c r="G41" s="65">
        <v>1579</v>
      </c>
      <c r="H41" s="66">
        <f>D41+E41+F41-G41</f>
        <v>6282</v>
      </c>
      <c r="I41" s="77">
        <v>1579</v>
      </c>
      <c r="J41" s="64">
        <f t="shared" si="15"/>
        <v>0</v>
      </c>
      <c r="K41" s="80"/>
    </row>
    <row r="42" customHeight="1" spans="1:11">
      <c r="A42" s="67">
        <v>43714</v>
      </c>
      <c r="B42" s="68"/>
      <c r="C42" s="68" t="s">
        <v>41</v>
      </c>
      <c r="D42" s="69">
        <f t="shared" si="13"/>
        <v>6445</v>
      </c>
      <c r="E42" s="70"/>
      <c r="F42" s="70"/>
      <c r="G42" s="71">
        <v>0</v>
      </c>
      <c r="H42" s="72">
        <f>D42+E42+F42-G42</f>
        <v>6445</v>
      </c>
      <c r="I42" s="81">
        <v>0</v>
      </c>
      <c r="J42" s="69">
        <f t="shared" si="15"/>
        <v>0</v>
      </c>
      <c r="K42" s="82"/>
    </row>
    <row r="43" customHeight="1" spans="1:11">
      <c r="A43" s="99" t="s">
        <v>0</v>
      </c>
      <c r="B43" s="60" t="s">
        <v>1</v>
      </c>
      <c r="C43" s="60" t="s">
        <v>2</v>
      </c>
      <c r="D43" s="59" t="s">
        <v>3</v>
      </c>
      <c r="E43" s="60" t="s">
        <v>4</v>
      </c>
      <c r="F43" s="60" t="s">
        <v>5</v>
      </c>
      <c r="G43" s="61" t="s">
        <v>6</v>
      </c>
      <c r="H43" s="62" t="s">
        <v>7</v>
      </c>
      <c r="I43" s="75" t="s">
        <v>8</v>
      </c>
      <c r="J43" s="59" t="s">
        <v>9</v>
      </c>
      <c r="K43" s="100" t="s">
        <v>10</v>
      </c>
    </row>
    <row r="44" customHeight="1" spans="1:11">
      <c r="A44" s="63">
        <v>43715</v>
      </c>
      <c r="B44" s="8" t="s">
        <v>11</v>
      </c>
      <c r="C44" s="8" t="s">
        <v>12</v>
      </c>
      <c r="D44" s="64">
        <f t="shared" ref="D44:D49" si="16">H37</f>
        <v>745.700000000001</v>
      </c>
      <c r="E44" s="6"/>
      <c r="F44" s="6"/>
      <c r="G44" s="65">
        <v>463</v>
      </c>
      <c r="H44" s="66">
        <f t="shared" ref="H44:H47" si="17">D44-G44+E44+F44</f>
        <v>282.700000000001</v>
      </c>
      <c r="I44" s="77">
        <f>[64]对账!$B$102</f>
        <v>601</v>
      </c>
      <c r="J44" s="64">
        <f t="shared" ref="J44:J49" si="18">G44-I44</f>
        <v>-138</v>
      </c>
      <c r="K44" s="80" t="s">
        <v>17</v>
      </c>
    </row>
    <row r="45" customHeight="1" spans="1:11">
      <c r="A45" s="63">
        <v>43715</v>
      </c>
      <c r="B45" s="8" t="s">
        <v>65</v>
      </c>
      <c r="C45" s="8" t="s">
        <v>16</v>
      </c>
      <c r="D45" s="64">
        <f t="shared" si="16"/>
        <v>7714</v>
      </c>
      <c r="E45" s="6"/>
      <c r="F45" s="6"/>
      <c r="G45" s="65">
        <v>315</v>
      </c>
      <c r="H45" s="66">
        <f t="shared" si="17"/>
        <v>7399</v>
      </c>
      <c r="I45" s="77">
        <f>[65]好评返现对账!$B$83</f>
        <v>315</v>
      </c>
      <c r="J45" s="64">
        <f t="shared" si="18"/>
        <v>0</v>
      </c>
      <c r="K45" s="80"/>
    </row>
    <row r="46" customHeight="1" spans="1:11">
      <c r="A46" s="63">
        <v>43715</v>
      </c>
      <c r="B46" s="8" t="s">
        <v>31</v>
      </c>
      <c r="C46" s="8" t="s">
        <v>19</v>
      </c>
      <c r="D46" s="64">
        <f t="shared" si="16"/>
        <v>5001.5</v>
      </c>
      <c r="E46" s="6"/>
      <c r="F46" s="6">
        <v>59</v>
      </c>
      <c r="G46" s="65">
        <v>3757</v>
      </c>
      <c r="H46" s="66">
        <f t="shared" si="17"/>
        <v>1303.5</v>
      </c>
      <c r="I46" s="77">
        <f>3678+59</f>
        <v>3737</v>
      </c>
      <c r="J46" s="64">
        <f t="shared" si="18"/>
        <v>20</v>
      </c>
      <c r="K46" s="79"/>
    </row>
    <row r="47" customHeight="1" spans="1:11">
      <c r="A47" s="63">
        <v>43715</v>
      </c>
      <c r="B47" s="8" t="s">
        <v>18</v>
      </c>
      <c r="C47" s="8" t="s">
        <v>20</v>
      </c>
      <c r="D47" s="64">
        <f t="shared" si="16"/>
        <v>32</v>
      </c>
      <c r="E47" s="6">
        <v>10000</v>
      </c>
      <c r="F47" s="6"/>
      <c r="G47" s="65">
        <f>1719+10</f>
        <v>1729</v>
      </c>
      <c r="H47" s="66">
        <f t="shared" si="17"/>
        <v>8303</v>
      </c>
      <c r="I47" s="77">
        <v>1719</v>
      </c>
      <c r="J47" s="64">
        <f t="shared" si="18"/>
        <v>10</v>
      </c>
      <c r="K47" s="80" t="s">
        <v>61</v>
      </c>
    </row>
    <row r="48" customHeight="1" spans="1:11">
      <c r="A48" s="63">
        <v>43715</v>
      </c>
      <c r="B48" s="8" t="s">
        <v>18</v>
      </c>
      <c r="C48" s="8" t="s">
        <v>40</v>
      </c>
      <c r="D48" s="64">
        <f t="shared" si="16"/>
        <v>6282</v>
      </c>
      <c r="E48" s="6"/>
      <c r="F48" s="6"/>
      <c r="G48" s="65">
        <v>2481</v>
      </c>
      <c r="H48" s="66">
        <f>D48+E48+F48-G48</f>
        <v>3801</v>
      </c>
      <c r="I48" s="77">
        <f>[62]账单!$E$9</f>
        <v>2481</v>
      </c>
      <c r="J48" s="64">
        <f t="shared" si="18"/>
        <v>0</v>
      </c>
      <c r="K48" s="80"/>
    </row>
    <row r="49" customHeight="1" spans="1:11">
      <c r="A49" s="67">
        <v>43715</v>
      </c>
      <c r="B49" s="68"/>
      <c r="C49" s="68" t="s">
        <v>41</v>
      </c>
      <c r="D49" s="69">
        <f t="shared" si="16"/>
        <v>6445</v>
      </c>
      <c r="E49" s="70"/>
      <c r="F49" s="70"/>
      <c r="G49" s="71">
        <v>0</v>
      </c>
      <c r="H49" s="72">
        <f>D49+E49+F49-G49</f>
        <v>6445</v>
      </c>
      <c r="I49" s="81">
        <v>0</v>
      </c>
      <c r="J49" s="69">
        <f t="shared" si="18"/>
        <v>0</v>
      </c>
      <c r="K49" s="82"/>
    </row>
    <row r="50" customHeight="1" spans="1:11">
      <c r="A50" s="99" t="s">
        <v>0</v>
      </c>
      <c r="B50" s="60" t="s">
        <v>1</v>
      </c>
      <c r="C50" s="60" t="s">
        <v>2</v>
      </c>
      <c r="D50" s="59" t="s">
        <v>3</v>
      </c>
      <c r="E50" s="60" t="s">
        <v>4</v>
      </c>
      <c r="F50" s="60" t="s">
        <v>5</v>
      </c>
      <c r="G50" s="61" t="s">
        <v>6</v>
      </c>
      <c r="H50" s="62" t="s">
        <v>7</v>
      </c>
      <c r="I50" s="75" t="s">
        <v>8</v>
      </c>
      <c r="J50" s="59" t="s">
        <v>9</v>
      </c>
      <c r="K50" s="100" t="s">
        <v>10</v>
      </c>
    </row>
    <row r="51" customHeight="1" spans="1:11">
      <c r="A51" s="63">
        <v>43716</v>
      </c>
      <c r="B51" s="8" t="s">
        <v>11</v>
      </c>
      <c r="C51" s="8" t="s">
        <v>12</v>
      </c>
      <c r="D51" s="64">
        <f t="shared" ref="D51:D56" si="19">H44</f>
        <v>282.700000000001</v>
      </c>
      <c r="E51" s="6">
        <v>10000</v>
      </c>
      <c r="F51" s="6"/>
      <c r="G51" s="65">
        <v>877</v>
      </c>
      <c r="H51" s="66">
        <f t="shared" ref="H51:H54" si="20">D51-G51+E51+F51</f>
        <v>9405.7</v>
      </c>
      <c r="I51" s="77">
        <f>[69]对账!$B$103</f>
        <v>739</v>
      </c>
      <c r="J51" s="64">
        <f t="shared" ref="J51:J56" si="21">G51-I51</f>
        <v>138</v>
      </c>
      <c r="K51" s="80" t="s">
        <v>17</v>
      </c>
    </row>
    <row r="52" customHeight="1" spans="1:11">
      <c r="A52" s="63">
        <v>43716</v>
      </c>
      <c r="B52" s="8" t="s">
        <v>65</v>
      </c>
      <c r="C52" s="8" t="s">
        <v>16</v>
      </c>
      <c r="D52" s="64">
        <f t="shared" si="19"/>
        <v>7399</v>
      </c>
      <c r="E52" s="6"/>
      <c r="F52" s="6"/>
      <c r="G52" s="65">
        <v>123</v>
      </c>
      <c r="H52" s="66">
        <f t="shared" si="20"/>
        <v>7276</v>
      </c>
      <c r="I52" s="77">
        <f>[71]好评返现对账!$B$84</f>
        <v>123</v>
      </c>
      <c r="J52" s="64">
        <f t="shared" si="21"/>
        <v>0</v>
      </c>
      <c r="K52" s="80"/>
    </row>
    <row r="53" customHeight="1" spans="1:11">
      <c r="A53" s="63">
        <v>43716</v>
      </c>
      <c r="B53" s="8" t="s">
        <v>31</v>
      </c>
      <c r="C53" s="8" t="s">
        <v>19</v>
      </c>
      <c r="D53" s="64">
        <f t="shared" si="19"/>
        <v>1303.5</v>
      </c>
      <c r="E53" s="6">
        <v>10000</v>
      </c>
      <c r="F53" s="6"/>
      <c r="G53" s="65">
        <v>3904</v>
      </c>
      <c r="H53" s="66">
        <f t="shared" si="20"/>
        <v>7399.5</v>
      </c>
      <c r="I53" s="77">
        <f>[63]对账!$B$78</f>
        <v>3904</v>
      </c>
      <c r="J53" s="64">
        <f t="shared" si="21"/>
        <v>0</v>
      </c>
      <c r="K53" s="79"/>
    </row>
    <row r="54" customHeight="1" spans="1:11">
      <c r="A54" s="63">
        <v>43716</v>
      </c>
      <c r="B54" s="8" t="s">
        <v>18</v>
      </c>
      <c r="C54" s="8" t="s">
        <v>20</v>
      </c>
      <c r="D54" s="64">
        <f t="shared" si="19"/>
        <v>8303</v>
      </c>
      <c r="E54" s="6"/>
      <c r="F54" s="6"/>
      <c r="G54" s="65">
        <f>[61]账单!$E$10</f>
        <v>1572</v>
      </c>
      <c r="H54" s="66">
        <f t="shared" si="20"/>
        <v>6731</v>
      </c>
      <c r="I54" s="77">
        <v>1572</v>
      </c>
      <c r="J54" s="64">
        <f t="shared" si="21"/>
        <v>0</v>
      </c>
      <c r="K54" s="80"/>
    </row>
    <row r="55" customHeight="1" spans="1:11">
      <c r="A55" s="63">
        <v>43716</v>
      </c>
      <c r="B55" s="8" t="s">
        <v>18</v>
      </c>
      <c r="C55" s="8" t="s">
        <v>40</v>
      </c>
      <c r="D55" s="64">
        <f t="shared" si="19"/>
        <v>3801</v>
      </c>
      <c r="E55" s="6"/>
      <c r="F55" s="6"/>
      <c r="G55" s="65">
        <v>2578</v>
      </c>
      <c r="H55" s="66">
        <f>D55+E55+F55-G55</f>
        <v>1223</v>
      </c>
      <c r="I55" s="77">
        <f>[62]账单!$E$10</f>
        <v>2578</v>
      </c>
      <c r="J55" s="64">
        <f t="shared" si="21"/>
        <v>0</v>
      </c>
      <c r="K55" s="80"/>
    </row>
    <row r="56" customHeight="1" spans="1:11">
      <c r="A56" s="67">
        <v>43716</v>
      </c>
      <c r="B56" s="68"/>
      <c r="C56" s="68" t="s">
        <v>41</v>
      </c>
      <c r="D56" s="69">
        <f t="shared" si="19"/>
        <v>6445</v>
      </c>
      <c r="E56" s="70"/>
      <c r="F56" s="70"/>
      <c r="G56" s="71">
        <v>5</v>
      </c>
      <c r="H56" s="72">
        <f>D56+E56+F56-G56</f>
        <v>6440</v>
      </c>
      <c r="I56" s="81">
        <v>0</v>
      </c>
      <c r="J56" s="69">
        <f t="shared" si="21"/>
        <v>5</v>
      </c>
      <c r="K56" s="82"/>
    </row>
    <row r="57" customHeight="1" spans="1:11">
      <c r="A57" s="99" t="s">
        <v>0</v>
      </c>
      <c r="B57" s="60" t="s">
        <v>1</v>
      </c>
      <c r="C57" s="60" t="s">
        <v>2</v>
      </c>
      <c r="D57" s="59" t="s">
        <v>3</v>
      </c>
      <c r="E57" s="60" t="s">
        <v>4</v>
      </c>
      <c r="F57" s="60" t="s">
        <v>5</v>
      </c>
      <c r="G57" s="61" t="s">
        <v>6</v>
      </c>
      <c r="H57" s="62" t="s">
        <v>7</v>
      </c>
      <c r="I57" s="75" t="s">
        <v>8</v>
      </c>
      <c r="J57" s="59" t="s">
        <v>9</v>
      </c>
      <c r="K57" s="100" t="s">
        <v>10</v>
      </c>
    </row>
    <row r="58" customHeight="1" spans="1:11">
      <c r="A58" s="63">
        <v>43717</v>
      </c>
      <c r="B58" s="8" t="s">
        <v>11</v>
      </c>
      <c r="C58" s="8" t="s">
        <v>12</v>
      </c>
      <c r="D58" s="64">
        <f t="shared" ref="D58:D63" si="22">H51</f>
        <v>9405.7</v>
      </c>
      <c r="E58" s="6"/>
      <c r="F58" s="6"/>
      <c r="G58" s="65">
        <v>1205</v>
      </c>
      <c r="H58" s="66">
        <f t="shared" ref="H58:H61" si="23">D58-G58+E58+F58</f>
        <v>8200.7</v>
      </c>
      <c r="I58" s="77">
        <f>[69]对账!$B$104</f>
        <v>1204.9</v>
      </c>
      <c r="J58" s="64">
        <f t="shared" ref="J58:J63" si="24">G58-I58</f>
        <v>0.0999999999999091</v>
      </c>
      <c r="K58" s="80"/>
    </row>
    <row r="59" customHeight="1" spans="1:11">
      <c r="A59" s="63">
        <v>43717</v>
      </c>
      <c r="B59" s="8" t="s">
        <v>65</v>
      </c>
      <c r="C59" s="8" t="s">
        <v>16</v>
      </c>
      <c r="D59" s="64">
        <f t="shared" si="22"/>
        <v>7276</v>
      </c>
      <c r="E59" s="6"/>
      <c r="F59" s="6"/>
      <c r="G59" s="65">
        <v>55</v>
      </c>
      <c r="H59" s="66">
        <f t="shared" si="23"/>
        <v>7221</v>
      </c>
      <c r="I59" s="77">
        <f>[71]好评返现对账!$B$85</f>
        <v>55</v>
      </c>
      <c r="J59" s="64">
        <f t="shared" si="24"/>
        <v>0</v>
      </c>
      <c r="K59" s="80"/>
    </row>
    <row r="60" customHeight="1" spans="1:11">
      <c r="A60" s="63">
        <v>43717</v>
      </c>
      <c r="B60" s="8" t="s">
        <v>31</v>
      </c>
      <c r="C60" s="8" t="s">
        <v>19</v>
      </c>
      <c r="D60" s="64">
        <f t="shared" si="22"/>
        <v>7399.5</v>
      </c>
      <c r="E60" s="6"/>
      <c r="F60" s="6"/>
      <c r="G60" s="65">
        <v>7339</v>
      </c>
      <c r="H60" s="66">
        <f t="shared" si="23"/>
        <v>60.5</v>
      </c>
      <c r="I60" s="77">
        <f>[68]对账!$B$79</f>
        <v>3687</v>
      </c>
      <c r="J60" s="64">
        <f t="shared" si="24"/>
        <v>3652</v>
      </c>
      <c r="K60" s="79" t="s">
        <v>67</v>
      </c>
    </row>
    <row r="61" customHeight="1" spans="1:11">
      <c r="A61" s="63">
        <v>43717</v>
      </c>
      <c r="B61" s="8" t="s">
        <v>18</v>
      </c>
      <c r="C61" s="8" t="s">
        <v>20</v>
      </c>
      <c r="D61" s="64">
        <f t="shared" si="22"/>
        <v>6731</v>
      </c>
      <c r="E61" s="6"/>
      <c r="F61" s="6"/>
      <c r="G61" s="65">
        <f>3603+54</f>
        <v>3657</v>
      </c>
      <c r="H61" s="66">
        <f t="shared" si="23"/>
        <v>3074</v>
      </c>
      <c r="I61" s="77">
        <f>[66]账单!$E$11</f>
        <v>3603</v>
      </c>
      <c r="J61" s="64">
        <f t="shared" si="24"/>
        <v>54</v>
      </c>
      <c r="K61" s="80" t="s">
        <v>68</v>
      </c>
    </row>
    <row r="62" customHeight="1" spans="1:11">
      <c r="A62" s="63">
        <v>43717</v>
      </c>
      <c r="B62" s="8" t="s">
        <v>18</v>
      </c>
      <c r="C62" s="8" t="s">
        <v>40</v>
      </c>
      <c r="D62" s="64">
        <f t="shared" si="22"/>
        <v>1223</v>
      </c>
      <c r="E62" s="6">
        <v>10000</v>
      </c>
      <c r="F62" s="6"/>
      <c r="G62" s="65">
        <v>1138</v>
      </c>
      <c r="H62" s="66">
        <f>D62+E62+F62-G62</f>
        <v>10085</v>
      </c>
      <c r="I62" s="77">
        <f>[67]账单!$E$11</f>
        <v>1138</v>
      </c>
      <c r="J62" s="64">
        <f t="shared" si="24"/>
        <v>0</v>
      </c>
      <c r="K62" s="80"/>
    </row>
    <row r="63" customHeight="1" spans="1:11">
      <c r="A63" s="67">
        <v>43717</v>
      </c>
      <c r="B63" s="68"/>
      <c r="C63" s="68" t="s">
        <v>41</v>
      </c>
      <c r="D63" s="69">
        <f t="shared" si="22"/>
        <v>6440</v>
      </c>
      <c r="E63" s="70"/>
      <c r="F63" s="70"/>
      <c r="G63" s="71">
        <v>0</v>
      </c>
      <c r="H63" s="72">
        <f>D63+E63+F63-G63</f>
        <v>6440</v>
      </c>
      <c r="I63" s="81">
        <v>0</v>
      </c>
      <c r="J63" s="69">
        <f t="shared" si="24"/>
        <v>0</v>
      </c>
      <c r="K63" s="82"/>
    </row>
    <row r="64" customHeight="1" spans="1:11">
      <c r="A64" s="99" t="s">
        <v>0</v>
      </c>
      <c r="B64" s="60" t="s">
        <v>1</v>
      </c>
      <c r="C64" s="60" t="s">
        <v>2</v>
      </c>
      <c r="D64" s="59" t="s">
        <v>3</v>
      </c>
      <c r="E64" s="60" t="s">
        <v>4</v>
      </c>
      <c r="F64" s="60" t="s">
        <v>5</v>
      </c>
      <c r="G64" s="61" t="s">
        <v>6</v>
      </c>
      <c r="H64" s="62" t="s">
        <v>7</v>
      </c>
      <c r="I64" s="75" t="s">
        <v>8</v>
      </c>
      <c r="J64" s="59" t="s">
        <v>9</v>
      </c>
      <c r="K64" s="100" t="s">
        <v>10</v>
      </c>
    </row>
    <row r="65" customHeight="1" spans="1:11">
      <c r="A65" s="63">
        <v>43718</v>
      </c>
      <c r="B65" s="8" t="s">
        <v>11</v>
      </c>
      <c r="C65" s="8" t="s">
        <v>12</v>
      </c>
      <c r="D65" s="64">
        <f t="shared" ref="D65:D70" si="25">H58</f>
        <v>8200.7</v>
      </c>
      <c r="E65" s="6"/>
      <c r="F65" s="6"/>
      <c r="G65" s="65">
        <v>0</v>
      </c>
      <c r="H65" s="66">
        <f t="shared" ref="H65:H68" si="26">D65-G65+E65+F65</f>
        <v>8200.7</v>
      </c>
      <c r="I65" s="77">
        <v>0</v>
      </c>
      <c r="J65" s="64">
        <f t="shared" ref="J65:J70" si="27">G65-I65</f>
        <v>0</v>
      </c>
      <c r="K65" s="80"/>
    </row>
    <row r="66" customHeight="1" spans="1:11">
      <c r="A66" s="63">
        <v>43718</v>
      </c>
      <c r="B66" s="8" t="s">
        <v>65</v>
      </c>
      <c r="C66" s="8" t="s">
        <v>16</v>
      </c>
      <c r="D66" s="64">
        <f t="shared" si="25"/>
        <v>7221</v>
      </c>
      <c r="E66" s="6"/>
      <c r="F66" s="6"/>
      <c r="G66" s="65">
        <v>69</v>
      </c>
      <c r="H66" s="66">
        <f t="shared" si="26"/>
        <v>7152</v>
      </c>
      <c r="I66" s="77">
        <f>[71]好评返现对账!$B$86</f>
        <v>28</v>
      </c>
      <c r="J66" s="64">
        <f t="shared" si="27"/>
        <v>41</v>
      </c>
      <c r="K66" s="80"/>
    </row>
    <row r="67" customHeight="1" spans="1:11">
      <c r="A67" s="63">
        <v>43718</v>
      </c>
      <c r="B67" s="8" t="s">
        <v>31</v>
      </c>
      <c r="C67" s="8" t="s">
        <v>19</v>
      </c>
      <c r="D67" s="64">
        <f t="shared" si="25"/>
        <v>60.5</v>
      </c>
      <c r="E67" s="6">
        <v>10000</v>
      </c>
      <c r="F67" s="6">
        <v>5</v>
      </c>
      <c r="G67" s="65">
        <v>4208</v>
      </c>
      <c r="H67" s="66">
        <f t="shared" si="26"/>
        <v>5857.5</v>
      </c>
      <c r="I67" s="77">
        <f>[70]对账!$B$80</f>
        <v>4149</v>
      </c>
      <c r="J67" s="64">
        <f t="shared" si="27"/>
        <v>59</v>
      </c>
      <c r="K67" s="79" t="s">
        <v>69</v>
      </c>
    </row>
    <row r="68" customHeight="1" spans="1:11">
      <c r="A68" s="63">
        <v>43718</v>
      </c>
      <c r="B68" s="8" t="s">
        <v>18</v>
      </c>
      <c r="C68" s="8" t="s">
        <v>20</v>
      </c>
      <c r="D68" s="64">
        <f t="shared" si="25"/>
        <v>3074</v>
      </c>
      <c r="E68" s="6">
        <v>10000</v>
      </c>
      <c r="F68" s="6"/>
      <c r="G68" s="65">
        <v>2964</v>
      </c>
      <c r="H68" s="66">
        <f t="shared" si="26"/>
        <v>10110</v>
      </c>
      <c r="I68" s="77">
        <f>[66]账单!$E$12</f>
        <v>2964</v>
      </c>
      <c r="J68" s="64">
        <f t="shared" si="27"/>
        <v>0</v>
      </c>
      <c r="K68" s="80"/>
    </row>
    <row r="69" customHeight="1" spans="1:11">
      <c r="A69" s="63">
        <v>43718</v>
      </c>
      <c r="B69" s="8" t="s">
        <v>18</v>
      </c>
      <c r="C69" s="8" t="s">
        <v>40</v>
      </c>
      <c r="D69" s="64">
        <f t="shared" si="25"/>
        <v>10085</v>
      </c>
      <c r="E69" s="6"/>
      <c r="F69" s="6"/>
      <c r="G69" s="65">
        <v>952</v>
      </c>
      <c r="H69" s="66">
        <f>D69+E69+F69-G69</f>
        <v>9133</v>
      </c>
      <c r="I69" s="77">
        <f>[67]账单!$E$12</f>
        <v>952</v>
      </c>
      <c r="J69" s="64">
        <f t="shared" si="27"/>
        <v>0</v>
      </c>
      <c r="K69" s="80"/>
    </row>
    <row r="70" customHeight="1" spans="1:11">
      <c r="A70" s="67">
        <v>43718</v>
      </c>
      <c r="B70" s="68"/>
      <c r="C70" s="68" t="s">
        <v>41</v>
      </c>
      <c r="D70" s="69">
        <f t="shared" si="25"/>
        <v>6440</v>
      </c>
      <c r="E70" s="70"/>
      <c r="F70" s="70"/>
      <c r="G70" s="71">
        <v>0</v>
      </c>
      <c r="H70" s="72">
        <f>D70+E70+F70-G70</f>
        <v>6440</v>
      </c>
      <c r="I70" s="81">
        <v>0</v>
      </c>
      <c r="J70" s="69">
        <f t="shared" si="27"/>
        <v>0</v>
      </c>
      <c r="K70" s="82"/>
    </row>
    <row r="71" customHeight="1" spans="1:11">
      <c r="A71" s="99" t="s">
        <v>0</v>
      </c>
      <c r="B71" s="60" t="s">
        <v>1</v>
      </c>
      <c r="C71" s="60" t="s">
        <v>2</v>
      </c>
      <c r="D71" s="59" t="s">
        <v>3</v>
      </c>
      <c r="E71" s="60" t="s">
        <v>4</v>
      </c>
      <c r="F71" s="60" t="s">
        <v>5</v>
      </c>
      <c r="G71" s="61" t="s">
        <v>6</v>
      </c>
      <c r="H71" s="62" t="s">
        <v>7</v>
      </c>
      <c r="I71" s="75" t="s">
        <v>8</v>
      </c>
      <c r="J71" s="59" t="s">
        <v>9</v>
      </c>
      <c r="K71" s="100" t="s">
        <v>10</v>
      </c>
    </row>
    <row r="72" customHeight="1" spans="1:11">
      <c r="A72" s="63">
        <v>43719</v>
      </c>
      <c r="B72" s="8" t="s">
        <v>11</v>
      </c>
      <c r="C72" s="8" t="s">
        <v>12</v>
      </c>
      <c r="D72" s="64">
        <f t="shared" ref="D72:D77" si="28">H65</f>
        <v>8200.7</v>
      </c>
      <c r="E72" s="6"/>
      <c r="F72" s="6"/>
      <c r="G72" s="65">
        <v>104</v>
      </c>
      <c r="H72" s="66">
        <f t="shared" ref="H72:H75" si="29">D72-G72+E72+F72</f>
        <v>8096.7</v>
      </c>
      <c r="I72" s="77">
        <f>[75]对账!$B$106</f>
        <v>104</v>
      </c>
      <c r="J72" s="64">
        <f t="shared" ref="J72:J77" si="30">G72-I72</f>
        <v>0</v>
      </c>
      <c r="K72" s="80"/>
    </row>
    <row r="73" customHeight="1" spans="1:11">
      <c r="A73" s="63">
        <v>43719</v>
      </c>
      <c r="B73" s="8" t="s">
        <v>65</v>
      </c>
      <c r="C73" s="8" t="s">
        <v>16</v>
      </c>
      <c r="D73" s="64">
        <f t="shared" si="28"/>
        <v>7152</v>
      </c>
      <c r="E73" s="6"/>
      <c r="F73" s="6"/>
      <c r="G73" s="65">
        <v>4100</v>
      </c>
      <c r="H73" s="66">
        <f t="shared" si="29"/>
        <v>3052</v>
      </c>
      <c r="I73" s="77">
        <f>[71]好评返现对账!$B$87</f>
        <v>15</v>
      </c>
      <c r="J73" s="64">
        <f t="shared" si="30"/>
        <v>4085</v>
      </c>
      <c r="K73" s="78" t="s">
        <v>70</v>
      </c>
    </row>
    <row r="74" customHeight="1" spans="1:11">
      <c r="A74" s="63">
        <v>43719</v>
      </c>
      <c r="B74" s="8" t="s">
        <v>31</v>
      </c>
      <c r="C74" s="8" t="s">
        <v>19</v>
      </c>
      <c r="D74" s="64">
        <f t="shared" si="28"/>
        <v>5857.5</v>
      </c>
      <c r="E74" s="6">
        <v>3710</v>
      </c>
      <c r="F74" s="6"/>
      <c r="G74" s="65">
        <v>4332</v>
      </c>
      <c r="H74" s="66">
        <f t="shared" si="29"/>
        <v>5235.5</v>
      </c>
      <c r="I74" s="77">
        <f>[74]对账!$B$81</f>
        <v>4322</v>
      </c>
      <c r="J74" s="64">
        <f t="shared" si="30"/>
        <v>10</v>
      </c>
      <c r="K74" s="79" t="s">
        <v>71</v>
      </c>
    </row>
    <row r="75" customHeight="1" spans="1:11">
      <c r="A75" s="63">
        <v>43719</v>
      </c>
      <c r="B75" s="8" t="s">
        <v>18</v>
      </c>
      <c r="C75" s="8" t="s">
        <v>20</v>
      </c>
      <c r="D75" s="64">
        <f t="shared" si="28"/>
        <v>10110</v>
      </c>
      <c r="E75" s="6"/>
      <c r="F75" s="6"/>
      <c r="G75" s="65">
        <v>3327</v>
      </c>
      <c r="H75" s="66">
        <f t="shared" si="29"/>
        <v>6783</v>
      </c>
      <c r="I75" s="77">
        <f>[72]账单!$E$13</f>
        <v>3316.9</v>
      </c>
      <c r="J75" s="64">
        <f t="shared" si="30"/>
        <v>10.0999999999999</v>
      </c>
      <c r="K75" s="80"/>
    </row>
    <row r="76" customHeight="1" spans="1:11">
      <c r="A76" s="63">
        <v>43719</v>
      </c>
      <c r="B76" s="8" t="s">
        <v>18</v>
      </c>
      <c r="C76" s="8" t="s">
        <v>40</v>
      </c>
      <c r="D76" s="64">
        <f t="shared" si="28"/>
        <v>9133</v>
      </c>
      <c r="E76" s="6"/>
      <c r="F76" s="6"/>
      <c r="G76" s="65">
        <v>430</v>
      </c>
      <c r="H76" s="66">
        <f>D76+E76+F76-G76</f>
        <v>8703</v>
      </c>
      <c r="I76" s="77">
        <f>[73]账单!$E$13</f>
        <v>430</v>
      </c>
      <c r="J76" s="64">
        <f t="shared" si="30"/>
        <v>0</v>
      </c>
      <c r="K76" s="80"/>
    </row>
    <row r="77" customHeight="1" spans="1:11">
      <c r="A77" s="67">
        <v>43719</v>
      </c>
      <c r="B77" s="68"/>
      <c r="C77" s="68" t="s">
        <v>41</v>
      </c>
      <c r="D77" s="69">
        <f t="shared" si="28"/>
        <v>6440</v>
      </c>
      <c r="E77" s="70"/>
      <c r="F77" s="70"/>
      <c r="G77" s="71">
        <v>0</v>
      </c>
      <c r="H77" s="72">
        <f>D77+E77+F77-G77</f>
        <v>6440</v>
      </c>
      <c r="I77" s="81">
        <v>0</v>
      </c>
      <c r="J77" s="69">
        <f t="shared" si="30"/>
        <v>0</v>
      </c>
      <c r="K77" s="82"/>
    </row>
    <row r="78" customHeight="1" spans="1:11">
      <c r="A78" s="99" t="s">
        <v>0</v>
      </c>
      <c r="B78" s="60" t="s">
        <v>1</v>
      </c>
      <c r="C78" s="60" t="s">
        <v>2</v>
      </c>
      <c r="D78" s="59" t="s">
        <v>3</v>
      </c>
      <c r="E78" s="60" t="s">
        <v>4</v>
      </c>
      <c r="F78" s="60" t="s">
        <v>5</v>
      </c>
      <c r="G78" s="61" t="s">
        <v>6</v>
      </c>
      <c r="H78" s="62" t="s">
        <v>7</v>
      </c>
      <c r="I78" s="75" t="s">
        <v>8</v>
      </c>
      <c r="J78" s="59" t="s">
        <v>9</v>
      </c>
      <c r="K78" s="100" t="s">
        <v>10</v>
      </c>
    </row>
    <row r="79" customHeight="1" spans="1:11">
      <c r="A79" s="63">
        <v>43720</v>
      </c>
      <c r="B79" s="8" t="s">
        <v>11</v>
      </c>
      <c r="C79" s="8" t="s">
        <v>12</v>
      </c>
      <c r="D79" s="64">
        <f t="shared" ref="D79:D84" si="31">H72</f>
        <v>8096.7</v>
      </c>
      <c r="E79" s="6"/>
      <c r="F79" s="6"/>
      <c r="G79" s="65">
        <v>30</v>
      </c>
      <c r="H79" s="66">
        <f t="shared" ref="H79:H82" si="32">D79-G79+E79+F79</f>
        <v>8066.7</v>
      </c>
      <c r="I79" s="77">
        <f>[75]对账!$B$107</f>
        <v>30</v>
      </c>
      <c r="J79" s="64">
        <f t="shared" ref="J79:J84" si="33">G79-I79</f>
        <v>0</v>
      </c>
      <c r="K79" s="80"/>
    </row>
    <row r="80" customHeight="1" spans="1:11">
      <c r="A80" s="63">
        <v>43720</v>
      </c>
      <c r="B80" s="8" t="s">
        <v>65</v>
      </c>
      <c r="C80" s="8" t="s">
        <v>16</v>
      </c>
      <c r="D80" s="64">
        <f t="shared" si="31"/>
        <v>3052</v>
      </c>
      <c r="E80" s="6"/>
      <c r="F80" s="6"/>
      <c r="G80" s="65">
        <v>521</v>
      </c>
      <c r="H80" s="66">
        <f t="shared" si="32"/>
        <v>2531</v>
      </c>
      <c r="I80" s="77">
        <f>[71]好评返现对账!$B$88</f>
        <v>128</v>
      </c>
      <c r="J80" s="64">
        <f t="shared" si="33"/>
        <v>393</v>
      </c>
      <c r="K80" s="78"/>
    </row>
    <row r="81" customHeight="1" spans="1:11">
      <c r="A81" s="63">
        <v>43720</v>
      </c>
      <c r="B81" s="8" t="s">
        <v>31</v>
      </c>
      <c r="C81" s="8" t="s">
        <v>19</v>
      </c>
      <c r="D81" s="64">
        <f t="shared" si="31"/>
        <v>5235.5</v>
      </c>
      <c r="E81" s="6">
        <v>10000</v>
      </c>
      <c r="F81" s="6"/>
      <c r="G81" s="65">
        <v>3755</v>
      </c>
      <c r="H81" s="66">
        <f t="shared" si="32"/>
        <v>11480.5</v>
      </c>
      <c r="I81" s="77">
        <f>[74]对账!$B$82</f>
        <v>3760</v>
      </c>
      <c r="J81" s="64">
        <f t="shared" si="33"/>
        <v>-5</v>
      </c>
      <c r="K81" s="79"/>
    </row>
    <row r="82" customHeight="1" spans="1:11">
      <c r="A82" s="63">
        <v>43720</v>
      </c>
      <c r="B82" s="8" t="s">
        <v>18</v>
      </c>
      <c r="C82" s="8" t="s">
        <v>20</v>
      </c>
      <c r="D82" s="64">
        <f t="shared" si="31"/>
        <v>6783</v>
      </c>
      <c r="E82" s="6"/>
      <c r="F82" s="6"/>
      <c r="G82" s="65">
        <v>1137</v>
      </c>
      <c r="H82" s="66">
        <f t="shared" si="32"/>
        <v>5646</v>
      </c>
      <c r="I82" s="77">
        <f>[72]账单!$E$14</f>
        <v>1137</v>
      </c>
      <c r="J82" s="64">
        <f t="shared" si="33"/>
        <v>0</v>
      </c>
      <c r="K82" s="80"/>
    </row>
    <row r="83" customHeight="1" spans="1:11">
      <c r="A83" s="63">
        <v>43720</v>
      </c>
      <c r="B83" s="8" t="s">
        <v>18</v>
      </c>
      <c r="C83" s="8" t="s">
        <v>40</v>
      </c>
      <c r="D83" s="64">
        <f t="shared" si="31"/>
        <v>8703</v>
      </c>
      <c r="E83" s="6"/>
      <c r="F83" s="6"/>
      <c r="G83" s="65">
        <v>2701</v>
      </c>
      <c r="H83" s="66">
        <f>D83+E83+F83-G83</f>
        <v>6002</v>
      </c>
      <c r="I83" s="77">
        <f>[73]账单!$E$14</f>
        <v>2701</v>
      </c>
      <c r="J83" s="64">
        <f t="shared" si="33"/>
        <v>0</v>
      </c>
      <c r="K83" s="80"/>
    </row>
    <row r="84" customHeight="1" spans="1:11">
      <c r="A84" s="67">
        <v>43720</v>
      </c>
      <c r="B84" s="68"/>
      <c r="C84" s="68" t="s">
        <v>41</v>
      </c>
      <c r="D84" s="69">
        <f t="shared" si="31"/>
        <v>6440</v>
      </c>
      <c r="E84" s="70"/>
      <c r="F84" s="70"/>
      <c r="G84" s="71">
        <v>0</v>
      </c>
      <c r="H84" s="72">
        <f>D84+E84+F84-G84</f>
        <v>6440</v>
      </c>
      <c r="I84" s="81">
        <v>0</v>
      </c>
      <c r="J84" s="69">
        <f t="shared" si="33"/>
        <v>0</v>
      </c>
      <c r="K84" s="82"/>
    </row>
    <row r="85" customHeight="1" spans="1:11">
      <c r="A85" s="99" t="s">
        <v>0</v>
      </c>
      <c r="B85" s="60" t="s">
        <v>1</v>
      </c>
      <c r="C85" s="60" t="s">
        <v>2</v>
      </c>
      <c r="D85" s="59" t="s">
        <v>3</v>
      </c>
      <c r="E85" s="60" t="s">
        <v>4</v>
      </c>
      <c r="F85" s="60" t="s">
        <v>5</v>
      </c>
      <c r="G85" s="61" t="s">
        <v>6</v>
      </c>
      <c r="H85" s="62" t="s">
        <v>7</v>
      </c>
      <c r="I85" s="75" t="s">
        <v>8</v>
      </c>
      <c r="J85" s="59" t="s">
        <v>9</v>
      </c>
      <c r="K85" s="100" t="s">
        <v>10</v>
      </c>
    </row>
    <row r="86" customHeight="1" spans="1:11">
      <c r="A86" s="63">
        <v>43721</v>
      </c>
      <c r="B86" s="8" t="s">
        <v>11</v>
      </c>
      <c r="C86" s="8" t="s">
        <v>12</v>
      </c>
      <c r="D86" s="64">
        <f t="shared" ref="D86:D91" si="34">H79</f>
        <v>8066.7</v>
      </c>
      <c r="E86" s="6"/>
      <c r="F86" s="6"/>
      <c r="G86" s="65">
        <v>217</v>
      </c>
      <c r="H86" s="66">
        <f t="shared" ref="H86:H89" si="35">D86-G86+E86+F86</f>
        <v>7849.7</v>
      </c>
      <c r="I86" s="77">
        <f>[75]对账!$B$108</f>
        <v>217</v>
      </c>
      <c r="J86" s="64">
        <f t="shared" ref="J86:J91" si="36">G86-I86</f>
        <v>0</v>
      </c>
      <c r="K86" s="80"/>
    </row>
    <row r="87" customHeight="1" spans="1:11">
      <c r="A87" s="63">
        <v>43721</v>
      </c>
      <c r="B87" s="8" t="s">
        <v>65</v>
      </c>
      <c r="C87" s="8" t="s">
        <v>16</v>
      </c>
      <c r="D87" s="64">
        <f t="shared" si="34"/>
        <v>2531</v>
      </c>
      <c r="E87" s="6"/>
      <c r="F87" s="6"/>
      <c r="G87" s="65">
        <v>0</v>
      </c>
      <c r="H87" s="66">
        <f t="shared" si="35"/>
        <v>2531</v>
      </c>
      <c r="I87" s="77">
        <v>0</v>
      </c>
      <c r="J87" s="64">
        <f t="shared" si="36"/>
        <v>0</v>
      </c>
      <c r="K87" s="78"/>
    </row>
    <row r="88" customHeight="1" spans="1:11">
      <c r="A88" s="63">
        <v>43721</v>
      </c>
      <c r="B88" s="8" t="s">
        <v>31</v>
      </c>
      <c r="C88" s="8" t="s">
        <v>19</v>
      </c>
      <c r="D88" s="64">
        <f t="shared" si="34"/>
        <v>11480.5</v>
      </c>
      <c r="E88" s="6"/>
      <c r="F88" s="6"/>
      <c r="G88" s="65">
        <v>2999</v>
      </c>
      <c r="H88" s="66">
        <f t="shared" si="35"/>
        <v>8481.5</v>
      </c>
      <c r="I88" s="77">
        <f>[74]对账!$B$83</f>
        <v>2974</v>
      </c>
      <c r="J88" s="64">
        <f t="shared" si="36"/>
        <v>25</v>
      </c>
      <c r="K88" s="79" t="s">
        <v>72</v>
      </c>
    </row>
    <row r="89" customHeight="1" spans="1:11">
      <c r="A89" s="63">
        <v>43721</v>
      </c>
      <c r="B89" s="8" t="s">
        <v>18</v>
      </c>
      <c r="C89" s="8" t="s">
        <v>20</v>
      </c>
      <c r="D89" s="64">
        <f t="shared" si="34"/>
        <v>5646</v>
      </c>
      <c r="E89" s="6"/>
      <c r="F89" s="6"/>
      <c r="G89" s="65">
        <v>459</v>
      </c>
      <c r="H89" s="66">
        <f t="shared" si="35"/>
        <v>5187</v>
      </c>
      <c r="I89" s="77">
        <f>[72]账单!$E$15</f>
        <v>459</v>
      </c>
      <c r="J89" s="64">
        <f t="shared" si="36"/>
        <v>0</v>
      </c>
      <c r="K89" s="80"/>
    </row>
    <row r="90" customHeight="1" spans="1:11">
      <c r="A90" s="63">
        <v>43721</v>
      </c>
      <c r="B90" s="8" t="s">
        <v>18</v>
      </c>
      <c r="C90" s="8" t="s">
        <v>40</v>
      </c>
      <c r="D90" s="64">
        <f t="shared" si="34"/>
        <v>6002</v>
      </c>
      <c r="E90" s="6">
        <v>10000</v>
      </c>
      <c r="F90" s="6"/>
      <c r="G90" s="65">
        <v>3626</v>
      </c>
      <c r="H90" s="66">
        <f>D90+E90+F90-G90</f>
        <v>12376</v>
      </c>
      <c r="I90" s="77">
        <f>[73]账单!$E$15</f>
        <v>3567</v>
      </c>
      <c r="J90" s="64">
        <f t="shared" si="36"/>
        <v>59</v>
      </c>
      <c r="K90" s="80" t="s">
        <v>73</v>
      </c>
    </row>
    <row r="91" customHeight="1" spans="1:11">
      <c r="A91" s="67">
        <v>43721</v>
      </c>
      <c r="B91" s="68"/>
      <c r="C91" s="68" t="s">
        <v>41</v>
      </c>
      <c r="D91" s="69">
        <f t="shared" si="34"/>
        <v>6440</v>
      </c>
      <c r="E91" s="70"/>
      <c r="F91" s="70"/>
      <c r="G91" s="71">
        <v>0</v>
      </c>
      <c r="H91" s="72">
        <f>D91+E91+F91-G91</f>
        <v>6440</v>
      </c>
      <c r="I91" s="81">
        <v>0</v>
      </c>
      <c r="J91" s="69">
        <f t="shared" si="36"/>
        <v>0</v>
      </c>
      <c r="K91" s="82"/>
    </row>
    <row r="92" customHeight="1" spans="1:11">
      <c r="A92" s="99" t="s">
        <v>0</v>
      </c>
      <c r="B92" s="60" t="s">
        <v>1</v>
      </c>
      <c r="C92" s="60" t="s">
        <v>2</v>
      </c>
      <c r="D92" s="59" t="s">
        <v>3</v>
      </c>
      <c r="E92" s="60" t="s">
        <v>4</v>
      </c>
      <c r="F92" s="60" t="s">
        <v>5</v>
      </c>
      <c r="G92" s="61" t="s">
        <v>6</v>
      </c>
      <c r="H92" s="62" t="s">
        <v>7</v>
      </c>
      <c r="I92" s="75" t="s">
        <v>8</v>
      </c>
      <c r="J92" s="59" t="s">
        <v>9</v>
      </c>
      <c r="K92" s="100" t="s">
        <v>10</v>
      </c>
    </row>
    <row r="93" customHeight="1" spans="1:11">
      <c r="A93" s="63">
        <v>43722</v>
      </c>
      <c r="B93" s="8" t="s">
        <v>11</v>
      </c>
      <c r="C93" s="8" t="s">
        <v>12</v>
      </c>
      <c r="D93" s="64">
        <f t="shared" ref="D93:D98" si="37">H86</f>
        <v>7849.7</v>
      </c>
      <c r="E93" s="6"/>
      <c r="F93" s="6"/>
      <c r="G93" s="65">
        <v>94</v>
      </c>
      <c r="H93" s="66">
        <f t="shared" ref="H93:H96" si="38">D93-G93+E93+F93</f>
        <v>7755.7</v>
      </c>
      <c r="I93" s="77">
        <f>[75]对账!$B$109</f>
        <v>94</v>
      </c>
      <c r="J93" s="64">
        <f t="shared" ref="J93:J98" si="39">G93-I93</f>
        <v>0</v>
      </c>
      <c r="K93" s="80"/>
    </row>
    <row r="94" customHeight="1" spans="1:11">
      <c r="A94" s="63">
        <v>43722</v>
      </c>
      <c r="B94" s="8" t="s">
        <v>65</v>
      </c>
      <c r="C94" s="8" t="s">
        <v>16</v>
      </c>
      <c r="D94" s="64">
        <f t="shared" si="37"/>
        <v>2531</v>
      </c>
      <c r="E94" s="6"/>
      <c r="F94" s="6"/>
      <c r="G94" s="65">
        <v>0</v>
      </c>
      <c r="H94" s="66">
        <f t="shared" si="38"/>
        <v>2531</v>
      </c>
      <c r="I94" s="77">
        <v>0</v>
      </c>
      <c r="J94" s="64">
        <f t="shared" si="39"/>
        <v>0</v>
      </c>
      <c r="K94" s="78"/>
    </row>
    <row r="95" customHeight="1" spans="1:11">
      <c r="A95" s="63">
        <v>43722</v>
      </c>
      <c r="B95" s="8" t="s">
        <v>31</v>
      </c>
      <c r="C95" s="8" t="s">
        <v>19</v>
      </c>
      <c r="D95" s="64">
        <f t="shared" si="37"/>
        <v>8481.5</v>
      </c>
      <c r="E95" s="6"/>
      <c r="F95" s="6"/>
      <c r="G95" s="65">
        <f>7256-49</f>
        <v>7207</v>
      </c>
      <c r="H95" s="66">
        <f t="shared" si="38"/>
        <v>1274.5</v>
      </c>
      <c r="I95" s="77">
        <f>[74]对账!$B$84</f>
        <v>7044</v>
      </c>
      <c r="J95" s="64">
        <f t="shared" si="39"/>
        <v>163</v>
      </c>
      <c r="K95" s="79" t="s">
        <v>72</v>
      </c>
    </row>
    <row r="96" customHeight="1" spans="1:11">
      <c r="A96" s="63">
        <v>43722</v>
      </c>
      <c r="B96" s="8" t="s">
        <v>18</v>
      </c>
      <c r="C96" s="8" t="s">
        <v>20</v>
      </c>
      <c r="D96" s="64">
        <f t="shared" si="37"/>
        <v>5187</v>
      </c>
      <c r="E96" s="6"/>
      <c r="F96" s="6"/>
      <c r="G96" s="65">
        <v>0</v>
      </c>
      <c r="H96" s="66">
        <f t="shared" si="38"/>
        <v>5187</v>
      </c>
      <c r="I96" s="77">
        <v>0</v>
      </c>
      <c r="J96" s="64">
        <f t="shared" si="39"/>
        <v>0</v>
      </c>
      <c r="K96" s="80" t="s">
        <v>74</v>
      </c>
    </row>
    <row r="97" customHeight="1" spans="1:11">
      <c r="A97" s="63">
        <v>43722</v>
      </c>
      <c r="B97" s="8" t="s">
        <v>18</v>
      </c>
      <c r="C97" s="8" t="s">
        <v>40</v>
      </c>
      <c r="D97" s="64">
        <f t="shared" si="37"/>
        <v>12376</v>
      </c>
      <c r="E97" s="6"/>
      <c r="F97" s="6"/>
      <c r="G97" s="65">
        <v>0</v>
      </c>
      <c r="H97" s="66">
        <f>D97+E97+F97-G97</f>
        <v>12376</v>
      </c>
      <c r="I97" s="77">
        <v>0</v>
      </c>
      <c r="J97" s="64">
        <f t="shared" si="39"/>
        <v>0</v>
      </c>
      <c r="K97" s="80"/>
    </row>
    <row r="98" customHeight="1" spans="1:11">
      <c r="A98" s="67">
        <v>43722</v>
      </c>
      <c r="B98" s="68"/>
      <c r="C98" s="68" t="s">
        <v>41</v>
      </c>
      <c r="D98" s="69">
        <f t="shared" si="37"/>
        <v>6440</v>
      </c>
      <c r="E98" s="70"/>
      <c r="F98" s="70"/>
      <c r="G98" s="71">
        <v>0</v>
      </c>
      <c r="H98" s="72">
        <f>D98+E98+F98-G98</f>
        <v>6440</v>
      </c>
      <c r="I98" s="81">
        <v>0</v>
      </c>
      <c r="J98" s="69">
        <f t="shared" si="39"/>
        <v>0</v>
      </c>
      <c r="K98" s="82"/>
    </row>
    <row r="99" customHeight="1" spans="1:11">
      <c r="A99" s="99" t="s">
        <v>0</v>
      </c>
      <c r="B99" s="60" t="s">
        <v>1</v>
      </c>
      <c r="C99" s="60" t="s">
        <v>2</v>
      </c>
      <c r="D99" s="59" t="s">
        <v>3</v>
      </c>
      <c r="E99" s="60" t="s">
        <v>4</v>
      </c>
      <c r="F99" s="60" t="s">
        <v>5</v>
      </c>
      <c r="G99" s="61" t="s">
        <v>6</v>
      </c>
      <c r="H99" s="62" t="s">
        <v>7</v>
      </c>
      <c r="I99" s="75" t="s">
        <v>8</v>
      </c>
      <c r="J99" s="59" t="s">
        <v>9</v>
      </c>
      <c r="K99" s="100" t="s">
        <v>10</v>
      </c>
    </row>
    <row r="100" customHeight="1" spans="1:11">
      <c r="A100" s="63">
        <v>43723</v>
      </c>
      <c r="B100" s="8" t="s">
        <v>11</v>
      </c>
      <c r="C100" s="8" t="s">
        <v>12</v>
      </c>
      <c r="D100" s="64">
        <f t="shared" ref="D100:D105" si="40">H93</f>
        <v>7755.7</v>
      </c>
      <c r="E100" s="6"/>
      <c r="F100" s="6"/>
      <c r="G100" s="65">
        <v>1486</v>
      </c>
      <c r="H100" s="66">
        <f t="shared" ref="H100:H103" si="41">D100-G100+E100+F100</f>
        <v>6269.7</v>
      </c>
      <c r="I100" s="77">
        <f>[75]对账!$B$110</f>
        <v>1486</v>
      </c>
      <c r="J100" s="64">
        <f t="shared" ref="J100:J105" si="42">G100-I100</f>
        <v>0</v>
      </c>
      <c r="K100" s="80"/>
    </row>
    <row r="101" customHeight="1" spans="1:11">
      <c r="A101" s="63">
        <v>43723</v>
      </c>
      <c r="B101" s="8" t="s">
        <v>65</v>
      </c>
      <c r="C101" s="8" t="s">
        <v>16</v>
      </c>
      <c r="D101" s="64">
        <f t="shared" si="40"/>
        <v>2531</v>
      </c>
      <c r="E101" s="6"/>
      <c r="F101" s="6"/>
      <c r="G101" s="65">
        <v>5</v>
      </c>
      <c r="H101" s="66">
        <f t="shared" si="41"/>
        <v>2526</v>
      </c>
      <c r="I101" s="77">
        <f>[59]好评返现对账!$B$91</f>
        <v>5</v>
      </c>
      <c r="J101" s="64">
        <f t="shared" si="42"/>
        <v>0</v>
      </c>
      <c r="K101" s="78"/>
    </row>
    <row r="102" customHeight="1" spans="1:11">
      <c r="A102" s="63">
        <v>43723</v>
      </c>
      <c r="B102" s="8" t="s">
        <v>31</v>
      </c>
      <c r="C102" s="8" t="s">
        <v>19</v>
      </c>
      <c r="D102" s="64">
        <f t="shared" si="40"/>
        <v>1274.5</v>
      </c>
      <c r="E102" s="6"/>
      <c r="F102" s="6"/>
      <c r="G102" s="65">
        <f>1086+49</f>
        <v>1135</v>
      </c>
      <c r="H102" s="66">
        <f t="shared" si="41"/>
        <v>139.5</v>
      </c>
      <c r="I102" s="77">
        <f>[74]对账!$B$85</f>
        <v>1135</v>
      </c>
      <c r="J102" s="64">
        <f t="shared" si="42"/>
        <v>0</v>
      </c>
      <c r="K102" s="79"/>
    </row>
    <row r="103" customHeight="1" spans="1:11">
      <c r="A103" s="63">
        <v>43723</v>
      </c>
      <c r="B103" s="8" t="s">
        <v>18</v>
      </c>
      <c r="C103" s="8" t="s">
        <v>20</v>
      </c>
      <c r="D103" s="64">
        <f t="shared" si="40"/>
        <v>5187</v>
      </c>
      <c r="E103" s="6"/>
      <c r="F103" s="6"/>
      <c r="G103" s="65">
        <f>3716+300</f>
        <v>4016</v>
      </c>
      <c r="H103" s="66">
        <f t="shared" si="41"/>
        <v>1171</v>
      </c>
      <c r="I103" s="77">
        <f>[77]账单!$E$17</f>
        <v>3716</v>
      </c>
      <c r="J103" s="64">
        <f t="shared" si="42"/>
        <v>300</v>
      </c>
      <c r="K103" s="80" t="s">
        <v>74</v>
      </c>
    </row>
    <row r="104" customHeight="1" spans="1:11">
      <c r="A104" s="63">
        <v>43723</v>
      </c>
      <c r="B104" s="8" t="s">
        <v>18</v>
      </c>
      <c r="C104" s="8" t="s">
        <v>40</v>
      </c>
      <c r="D104" s="64">
        <f t="shared" si="40"/>
        <v>12376</v>
      </c>
      <c r="E104" s="6"/>
      <c r="F104" s="6"/>
      <c r="G104" s="65">
        <v>1153</v>
      </c>
      <c r="H104" s="66">
        <f>D104+E104+F104-G104</f>
        <v>11223</v>
      </c>
      <c r="I104" s="77">
        <f>[73]账单!$E$17</f>
        <v>1453</v>
      </c>
      <c r="J104" s="64">
        <f t="shared" si="42"/>
        <v>-300</v>
      </c>
      <c r="K104" s="80" t="s">
        <v>75</v>
      </c>
    </row>
    <row r="105" customHeight="1" spans="1:11">
      <c r="A105" s="84">
        <v>43723</v>
      </c>
      <c r="B105" s="85"/>
      <c r="C105" s="85" t="s">
        <v>41</v>
      </c>
      <c r="D105" s="86">
        <f t="shared" si="40"/>
        <v>6440</v>
      </c>
      <c r="E105" s="87"/>
      <c r="F105" s="87"/>
      <c r="G105" s="88">
        <v>0</v>
      </c>
      <c r="H105" s="89">
        <f>D105+E105+F105-G105</f>
        <v>6440</v>
      </c>
      <c r="I105" s="95">
        <v>0</v>
      </c>
      <c r="J105" s="86">
        <f t="shared" si="42"/>
        <v>0</v>
      </c>
      <c r="K105" s="96"/>
    </row>
    <row r="106" customHeight="1" spans="1:11">
      <c r="A106" s="99" t="s">
        <v>0</v>
      </c>
      <c r="B106" s="60" t="s">
        <v>1</v>
      </c>
      <c r="C106" s="60" t="s">
        <v>2</v>
      </c>
      <c r="D106" s="59" t="s">
        <v>3</v>
      </c>
      <c r="E106" s="60" t="s">
        <v>4</v>
      </c>
      <c r="F106" s="60" t="s">
        <v>5</v>
      </c>
      <c r="G106" s="61" t="s">
        <v>6</v>
      </c>
      <c r="H106" s="62" t="s">
        <v>7</v>
      </c>
      <c r="I106" s="75" t="s">
        <v>8</v>
      </c>
      <c r="J106" s="59" t="s">
        <v>9</v>
      </c>
      <c r="K106" s="100" t="s">
        <v>10</v>
      </c>
    </row>
    <row r="107" customHeight="1" spans="1:11">
      <c r="A107" s="63">
        <v>43724</v>
      </c>
      <c r="B107" s="8" t="s">
        <v>11</v>
      </c>
      <c r="C107" s="8" t="s">
        <v>12</v>
      </c>
      <c r="D107" s="64">
        <f t="shared" ref="D107:D112" si="43">H100</f>
        <v>6269.7</v>
      </c>
      <c r="E107" s="6"/>
      <c r="F107" s="6"/>
      <c r="G107" s="65">
        <v>482</v>
      </c>
      <c r="H107" s="66">
        <f t="shared" ref="H107:H110" si="44">D107-G107+E107+F107</f>
        <v>5787.7</v>
      </c>
      <c r="I107" s="77">
        <v>482</v>
      </c>
      <c r="J107" s="64">
        <f t="shared" ref="J107:J112" si="45">G107-I107</f>
        <v>0</v>
      </c>
      <c r="K107" s="80"/>
    </row>
    <row r="108" customHeight="1" spans="1:11">
      <c r="A108" s="63">
        <v>43724</v>
      </c>
      <c r="B108" s="8" t="s">
        <v>65</v>
      </c>
      <c r="C108" s="8" t="s">
        <v>16</v>
      </c>
      <c r="D108" s="64">
        <f t="shared" si="43"/>
        <v>2526</v>
      </c>
      <c r="E108" s="6"/>
      <c r="F108" s="6">
        <v>4100</v>
      </c>
      <c r="G108" s="65">
        <v>330</v>
      </c>
      <c r="H108" s="66">
        <f t="shared" si="44"/>
        <v>6296</v>
      </c>
      <c r="I108" s="77">
        <f>[59]好评返现对账!$B$92</f>
        <v>330</v>
      </c>
      <c r="J108" s="64">
        <f t="shared" si="45"/>
        <v>0</v>
      </c>
      <c r="K108" s="78"/>
    </row>
    <row r="109" customHeight="1" spans="1:11">
      <c r="A109" s="63">
        <v>43724</v>
      </c>
      <c r="B109" s="8" t="s">
        <v>31</v>
      </c>
      <c r="C109" s="8" t="s">
        <v>19</v>
      </c>
      <c r="D109" s="64">
        <f t="shared" si="43"/>
        <v>139.5</v>
      </c>
      <c r="E109" s="6">
        <v>10000</v>
      </c>
      <c r="F109" s="6"/>
      <c r="G109" s="65">
        <v>3487</v>
      </c>
      <c r="H109" s="66">
        <f t="shared" si="44"/>
        <v>6652.5</v>
      </c>
      <c r="I109" s="77">
        <f>[78]对账!$B$86</f>
        <v>3511</v>
      </c>
      <c r="J109" s="64">
        <f t="shared" si="45"/>
        <v>-24</v>
      </c>
      <c r="K109" s="79" t="s">
        <v>17</v>
      </c>
    </row>
    <row r="110" customHeight="1" spans="1:11">
      <c r="A110" s="63">
        <v>43724</v>
      </c>
      <c r="B110" s="8" t="s">
        <v>18</v>
      </c>
      <c r="C110" s="8" t="s">
        <v>20</v>
      </c>
      <c r="D110" s="64">
        <f t="shared" si="43"/>
        <v>1171</v>
      </c>
      <c r="E110" s="6">
        <v>10000</v>
      </c>
      <c r="F110" s="6"/>
      <c r="G110" s="65">
        <v>3586</v>
      </c>
      <c r="H110" s="66">
        <f t="shared" si="44"/>
        <v>7585</v>
      </c>
      <c r="I110" s="77">
        <f>[77]账单!$E$18</f>
        <v>3586</v>
      </c>
      <c r="J110" s="64">
        <f t="shared" si="45"/>
        <v>0</v>
      </c>
      <c r="K110" s="80"/>
    </row>
    <row r="111" customHeight="1" spans="1:11">
      <c r="A111" s="63">
        <v>43724</v>
      </c>
      <c r="B111" s="8" t="s">
        <v>18</v>
      </c>
      <c r="C111" s="8" t="s">
        <v>40</v>
      </c>
      <c r="D111" s="64">
        <f t="shared" si="43"/>
        <v>11223</v>
      </c>
      <c r="E111" s="6"/>
      <c r="F111" s="6"/>
      <c r="G111" s="65">
        <v>386</v>
      </c>
      <c r="H111" s="66">
        <f>D111+E111+F111-G111</f>
        <v>10837</v>
      </c>
      <c r="I111" s="77">
        <f>[76]账单!$E$18</f>
        <v>386</v>
      </c>
      <c r="J111" s="64">
        <f t="shared" si="45"/>
        <v>0</v>
      </c>
      <c r="K111" s="80"/>
    </row>
    <row r="112" customHeight="1" spans="1:11">
      <c r="A112" s="67">
        <v>43724</v>
      </c>
      <c r="B112" s="68"/>
      <c r="C112" s="68" t="s">
        <v>41</v>
      </c>
      <c r="D112" s="69">
        <f t="shared" si="43"/>
        <v>6440</v>
      </c>
      <c r="E112" s="70"/>
      <c r="F112" s="70"/>
      <c r="G112" s="71">
        <v>0</v>
      </c>
      <c r="H112" s="72">
        <f>D112+E112+F112-G112</f>
        <v>6440</v>
      </c>
      <c r="I112" s="81">
        <v>0</v>
      </c>
      <c r="J112" s="69">
        <f t="shared" si="45"/>
        <v>0</v>
      </c>
      <c r="K112" s="82"/>
    </row>
    <row r="113" customHeight="1" spans="1:11">
      <c r="A113" s="99" t="s">
        <v>0</v>
      </c>
      <c r="B113" s="60" t="s">
        <v>1</v>
      </c>
      <c r="C113" s="60" t="s">
        <v>2</v>
      </c>
      <c r="D113" s="59" t="s">
        <v>3</v>
      </c>
      <c r="E113" s="60" t="s">
        <v>4</v>
      </c>
      <c r="F113" s="60" t="s">
        <v>5</v>
      </c>
      <c r="G113" s="61" t="s">
        <v>6</v>
      </c>
      <c r="H113" s="62" t="s">
        <v>7</v>
      </c>
      <c r="I113" s="75" t="s">
        <v>8</v>
      </c>
      <c r="J113" s="59" t="s">
        <v>9</v>
      </c>
      <c r="K113" s="100" t="s">
        <v>10</v>
      </c>
    </row>
    <row r="114" customHeight="1" spans="1:11">
      <c r="A114" s="63">
        <v>43725</v>
      </c>
      <c r="B114" s="8" t="s">
        <v>11</v>
      </c>
      <c r="C114" s="8" t="s">
        <v>12</v>
      </c>
      <c r="D114" s="64">
        <f t="shared" ref="D114:D119" si="46">H107</f>
        <v>5787.7</v>
      </c>
      <c r="E114" s="6"/>
      <c r="F114" s="6"/>
      <c r="G114" s="65">
        <v>1170</v>
      </c>
      <c r="H114" s="66">
        <f t="shared" ref="H114:H117" si="47">D114-G114+E114+F114</f>
        <v>4617.7</v>
      </c>
      <c r="I114" s="77">
        <v>1170</v>
      </c>
      <c r="J114" s="64">
        <f t="shared" ref="J114:J119" si="48">G114-I114</f>
        <v>0</v>
      </c>
      <c r="K114" s="80"/>
    </row>
    <row r="115" customHeight="1" spans="1:11">
      <c r="A115" s="63">
        <v>43725</v>
      </c>
      <c r="B115" s="8" t="s">
        <v>65</v>
      </c>
      <c r="C115" s="8" t="s">
        <v>16</v>
      </c>
      <c r="D115" s="64">
        <f t="shared" si="46"/>
        <v>6296</v>
      </c>
      <c r="E115" s="6"/>
      <c r="F115" s="6"/>
      <c r="G115" s="65">
        <v>305</v>
      </c>
      <c r="H115" s="66">
        <f t="shared" si="47"/>
        <v>5991</v>
      </c>
      <c r="I115" s="77">
        <f>[59]好评返现对账!$B$93</f>
        <v>305</v>
      </c>
      <c r="J115" s="64">
        <f t="shared" si="48"/>
        <v>0</v>
      </c>
      <c r="K115" s="78"/>
    </row>
    <row r="116" customHeight="1" spans="1:11">
      <c r="A116" s="63">
        <v>43725</v>
      </c>
      <c r="B116" s="8" t="s">
        <v>31</v>
      </c>
      <c r="C116" s="8" t="s">
        <v>19</v>
      </c>
      <c r="D116" s="64">
        <f t="shared" si="46"/>
        <v>6652.5</v>
      </c>
      <c r="E116" s="6"/>
      <c r="F116" s="6"/>
      <c r="G116" s="65">
        <v>3847</v>
      </c>
      <c r="H116" s="66">
        <f t="shared" si="47"/>
        <v>2805.5</v>
      </c>
      <c r="I116" s="77">
        <f>[78]对账!$B$87</f>
        <v>3911</v>
      </c>
      <c r="J116" s="64">
        <f t="shared" si="48"/>
        <v>-64</v>
      </c>
      <c r="K116" s="79" t="s">
        <v>17</v>
      </c>
    </row>
    <row r="117" customHeight="1" spans="1:11">
      <c r="A117" s="63">
        <v>43725</v>
      </c>
      <c r="B117" s="8" t="s">
        <v>18</v>
      </c>
      <c r="C117" s="8" t="s">
        <v>20</v>
      </c>
      <c r="D117" s="64">
        <f t="shared" si="46"/>
        <v>7585</v>
      </c>
      <c r="E117" s="6"/>
      <c r="F117" s="6"/>
      <c r="G117" s="65">
        <v>3952</v>
      </c>
      <c r="H117" s="66">
        <f t="shared" si="47"/>
        <v>3633</v>
      </c>
      <c r="I117" s="77">
        <f>[77]账单!$E$19</f>
        <v>3952</v>
      </c>
      <c r="J117" s="64">
        <f t="shared" si="48"/>
        <v>0</v>
      </c>
      <c r="K117" s="80"/>
    </row>
    <row r="118" customHeight="1" spans="1:11">
      <c r="A118" s="63">
        <v>43725</v>
      </c>
      <c r="B118" s="8" t="s">
        <v>18</v>
      </c>
      <c r="C118" s="8" t="s">
        <v>40</v>
      </c>
      <c r="D118" s="64">
        <f t="shared" si="46"/>
        <v>10837</v>
      </c>
      <c r="E118" s="6"/>
      <c r="F118" s="6"/>
      <c r="G118" s="65">
        <v>445</v>
      </c>
      <c r="H118" s="66">
        <f>D118+E118+F118-G118</f>
        <v>10392</v>
      </c>
      <c r="I118" s="77">
        <f>[76]账单!$E$19</f>
        <v>445</v>
      </c>
      <c r="J118" s="64">
        <f t="shared" si="48"/>
        <v>0</v>
      </c>
      <c r="K118" s="80"/>
    </row>
    <row r="119" customHeight="1" spans="1:11">
      <c r="A119" s="67">
        <v>43725</v>
      </c>
      <c r="B119" s="68"/>
      <c r="C119" s="68" t="s">
        <v>41</v>
      </c>
      <c r="D119" s="69">
        <f t="shared" si="46"/>
        <v>6440</v>
      </c>
      <c r="E119" s="70"/>
      <c r="F119" s="70"/>
      <c r="G119" s="71">
        <v>0</v>
      </c>
      <c r="H119" s="72">
        <f>D119+E119+F119-G119</f>
        <v>6440</v>
      </c>
      <c r="I119" s="81">
        <v>0</v>
      </c>
      <c r="J119" s="69">
        <f t="shared" si="48"/>
        <v>0</v>
      </c>
      <c r="K119" s="82"/>
    </row>
    <row r="120" customHeight="1" spans="1:11">
      <c r="A120" s="99" t="s">
        <v>0</v>
      </c>
      <c r="B120" s="60" t="s">
        <v>1</v>
      </c>
      <c r="C120" s="60" t="s">
        <v>2</v>
      </c>
      <c r="D120" s="59" t="s">
        <v>3</v>
      </c>
      <c r="E120" s="60" t="s">
        <v>4</v>
      </c>
      <c r="F120" s="60" t="s">
        <v>5</v>
      </c>
      <c r="G120" s="61" t="s">
        <v>6</v>
      </c>
      <c r="H120" s="62" t="s">
        <v>7</v>
      </c>
      <c r="I120" s="75" t="s">
        <v>8</v>
      </c>
      <c r="J120" s="59" t="s">
        <v>9</v>
      </c>
      <c r="K120" s="100" t="s">
        <v>10</v>
      </c>
    </row>
    <row r="121" customHeight="1" spans="1:11">
      <c r="A121" s="63">
        <v>43726</v>
      </c>
      <c r="B121" s="8" t="s">
        <v>11</v>
      </c>
      <c r="C121" s="8" t="s">
        <v>12</v>
      </c>
      <c r="D121" s="64">
        <f t="shared" ref="D121:D126" si="49">H114</f>
        <v>4617.7</v>
      </c>
      <c r="E121" s="6"/>
      <c r="F121" s="6"/>
      <c r="G121" s="65">
        <v>0</v>
      </c>
      <c r="H121" s="66">
        <f t="shared" ref="H121:H124" si="50">D121-G121+E121+F121</f>
        <v>4617.7</v>
      </c>
      <c r="I121" s="77">
        <v>0</v>
      </c>
      <c r="J121" s="64">
        <f t="shared" ref="J121:J126" si="51">G121-I121</f>
        <v>0</v>
      </c>
      <c r="K121" s="80"/>
    </row>
    <row r="122" customHeight="1" spans="1:11">
      <c r="A122" s="63">
        <v>43726</v>
      </c>
      <c r="B122" s="8" t="s">
        <v>65</v>
      </c>
      <c r="C122" s="8" t="s">
        <v>16</v>
      </c>
      <c r="D122" s="64">
        <f t="shared" si="49"/>
        <v>5991</v>
      </c>
      <c r="E122" s="6"/>
      <c r="F122" s="6"/>
      <c r="G122" s="65">
        <v>290</v>
      </c>
      <c r="H122" s="66">
        <f t="shared" si="50"/>
        <v>5701</v>
      </c>
      <c r="I122" s="77">
        <f>[59]好评返现对账!$B$94</f>
        <v>290</v>
      </c>
      <c r="J122" s="64">
        <f t="shared" si="51"/>
        <v>0</v>
      </c>
      <c r="K122" s="78"/>
    </row>
    <row r="123" customHeight="1" spans="1:11">
      <c r="A123" s="63">
        <v>43726</v>
      </c>
      <c r="B123" s="8" t="s">
        <v>31</v>
      </c>
      <c r="C123" s="8" t="s">
        <v>19</v>
      </c>
      <c r="D123" s="64">
        <f t="shared" si="49"/>
        <v>2805.5</v>
      </c>
      <c r="E123" s="6">
        <v>10000</v>
      </c>
      <c r="F123" s="6">
        <f>326.77+5</f>
        <v>331.77</v>
      </c>
      <c r="G123" s="65">
        <v>3852</v>
      </c>
      <c r="H123" s="66">
        <f t="shared" si="50"/>
        <v>9285.27</v>
      </c>
      <c r="I123" s="77">
        <f>[78]对账!$B$88</f>
        <v>3906</v>
      </c>
      <c r="J123" s="64">
        <f t="shared" si="51"/>
        <v>-54</v>
      </c>
      <c r="K123" s="79" t="s">
        <v>17</v>
      </c>
    </row>
    <row r="124" customHeight="1" spans="1:11">
      <c r="A124" s="63">
        <v>43726</v>
      </c>
      <c r="B124" s="8" t="s">
        <v>18</v>
      </c>
      <c r="C124" s="8" t="s">
        <v>20</v>
      </c>
      <c r="D124" s="64">
        <f t="shared" si="49"/>
        <v>3633</v>
      </c>
      <c r="E124" s="6"/>
      <c r="F124" s="6"/>
      <c r="G124" s="65">
        <v>3633</v>
      </c>
      <c r="H124" s="66">
        <f t="shared" si="50"/>
        <v>0</v>
      </c>
      <c r="I124" s="77">
        <f>[77]账单!$E$20</f>
        <v>3633</v>
      </c>
      <c r="J124" s="64">
        <f t="shared" si="51"/>
        <v>0</v>
      </c>
      <c r="K124" s="80"/>
    </row>
    <row r="125" customHeight="1" spans="1:11">
      <c r="A125" s="63">
        <v>43726</v>
      </c>
      <c r="B125" s="8" t="s">
        <v>18</v>
      </c>
      <c r="C125" s="8" t="s">
        <v>40</v>
      </c>
      <c r="D125" s="64">
        <f t="shared" si="49"/>
        <v>10392</v>
      </c>
      <c r="E125" s="6"/>
      <c r="F125" s="6"/>
      <c r="G125" s="65">
        <v>1058</v>
      </c>
      <c r="H125" s="66">
        <f>D125+E125+F125-G125</f>
        <v>9334</v>
      </c>
      <c r="I125" s="77">
        <f>[76]账单!$E$20</f>
        <v>1058</v>
      </c>
      <c r="J125" s="64">
        <f t="shared" si="51"/>
        <v>0</v>
      </c>
      <c r="K125" s="80"/>
    </row>
    <row r="126" customHeight="1" spans="1:11">
      <c r="A126" s="67">
        <v>43726</v>
      </c>
      <c r="B126" s="68"/>
      <c r="C126" s="68" t="s">
        <v>41</v>
      </c>
      <c r="D126" s="69">
        <f t="shared" si="49"/>
        <v>6440</v>
      </c>
      <c r="E126" s="70"/>
      <c r="F126" s="70"/>
      <c r="G126" s="71">
        <v>0</v>
      </c>
      <c r="H126" s="72">
        <f>D126+E126+F126-G126</f>
        <v>6440</v>
      </c>
      <c r="I126" s="81">
        <v>0</v>
      </c>
      <c r="J126" s="69">
        <f t="shared" si="51"/>
        <v>0</v>
      </c>
      <c r="K126" s="82"/>
    </row>
    <row r="127" customHeight="1" spans="1:11">
      <c r="A127" s="99" t="s">
        <v>0</v>
      </c>
      <c r="B127" s="60" t="s">
        <v>1</v>
      </c>
      <c r="C127" s="60" t="s">
        <v>2</v>
      </c>
      <c r="D127" s="59" t="s">
        <v>3</v>
      </c>
      <c r="E127" s="60" t="s">
        <v>4</v>
      </c>
      <c r="F127" s="60" t="s">
        <v>5</v>
      </c>
      <c r="G127" s="61" t="s">
        <v>6</v>
      </c>
      <c r="H127" s="62" t="s">
        <v>7</v>
      </c>
      <c r="I127" s="75" t="s">
        <v>8</v>
      </c>
      <c r="J127" s="59" t="s">
        <v>9</v>
      </c>
      <c r="K127" s="100" t="s">
        <v>10</v>
      </c>
    </row>
    <row r="128" customHeight="1" spans="1:11">
      <c r="A128" s="63">
        <v>43727</v>
      </c>
      <c r="B128" s="8" t="s">
        <v>11</v>
      </c>
      <c r="C128" s="8" t="s">
        <v>12</v>
      </c>
      <c r="D128" s="64">
        <f t="shared" ref="D128:D133" si="52">H121</f>
        <v>4617.7</v>
      </c>
      <c r="E128" s="6"/>
      <c r="F128" s="6"/>
      <c r="G128" s="65">
        <v>0</v>
      </c>
      <c r="H128" s="66">
        <f t="shared" ref="H128:H131" si="53">D128-G128+E128+F128</f>
        <v>4617.7</v>
      </c>
      <c r="I128" s="77">
        <v>0</v>
      </c>
      <c r="J128" s="64">
        <f t="shared" ref="J128:J133" si="54">G128-I128</f>
        <v>0</v>
      </c>
      <c r="K128" s="80"/>
    </row>
    <row r="129" customHeight="1" spans="1:11">
      <c r="A129" s="63">
        <v>43727</v>
      </c>
      <c r="B129" s="8" t="s">
        <v>65</v>
      </c>
      <c r="C129" s="8" t="s">
        <v>16</v>
      </c>
      <c r="D129" s="64">
        <f t="shared" si="52"/>
        <v>5701</v>
      </c>
      <c r="E129" s="6"/>
      <c r="F129" s="6"/>
      <c r="G129" s="65">
        <v>0</v>
      </c>
      <c r="H129" s="66">
        <f t="shared" si="53"/>
        <v>5701</v>
      </c>
      <c r="I129" s="77">
        <v>0</v>
      </c>
      <c r="J129" s="64">
        <f t="shared" si="54"/>
        <v>0</v>
      </c>
      <c r="K129" s="78"/>
    </row>
    <row r="130" customHeight="1" spans="1:11">
      <c r="A130" s="63">
        <v>43727</v>
      </c>
      <c r="B130" s="8" t="s">
        <v>31</v>
      </c>
      <c r="C130" s="8" t="s">
        <v>19</v>
      </c>
      <c r="D130" s="64">
        <f t="shared" si="52"/>
        <v>9285.27</v>
      </c>
      <c r="E130" s="6"/>
      <c r="F130" s="6"/>
      <c r="G130" s="65">
        <v>3859</v>
      </c>
      <c r="H130" s="66">
        <f t="shared" si="53"/>
        <v>5426.27</v>
      </c>
      <c r="I130" s="77">
        <v>3859</v>
      </c>
      <c r="J130" s="64">
        <f t="shared" si="54"/>
        <v>0</v>
      </c>
      <c r="K130" s="79"/>
    </row>
    <row r="131" customHeight="1" spans="1:11">
      <c r="A131" s="63">
        <v>43727</v>
      </c>
      <c r="B131" s="8" t="s">
        <v>18</v>
      </c>
      <c r="C131" s="8" t="s">
        <v>20</v>
      </c>
      <c r="D131" s="64">
        <f t="shared" si="52"/>
        <v>0</v>
      </c>
      <c r="E131" s="6">
        <v>10000</v>
      </c>
      <c r="F131" s="6"/>
      <c r="G131" s="65">
        <v>1294</v>
      </c>
      <c r="H131" s="66">
        <f t="shared" si="53"/>
        <v>8706</v>
      </c>
      <c r="I131" s="77">
        <f>[77]账单!$E$21</f>
        <v>1294</v>
      </c>
      <c r="J131" s="64">
        <f t="shared" si="54"/>
        <v>0</v>
      </c>
      <c r="K131" s="80"/>
    </row>
    <row r="132" customHeight="1" spans="1:11">
      <c r="A132" s="63">
        <v>43727</v>
      </c>
      <c r="B132" s="8" t="s">
        <v>18</v>
      </c>
      <c r="C132" s="8" t="s">
        <v>40</v>
      </c>
      <c r="D132" s="64">
        <f t="shared" si="52"/>
        <v>9334</v>
      </c>
      <c r="E132" s="6"/>
      <c r="F132" s="6"/>
      <c r="G132" s="65">
        <v>2625</v>
      </c>
      <c r="H132" s="66">
        <f>D132+E132+F132-G132</f>
        <v>6709</v>
      </c>
      <c r="I132" s="77">
        <f>[76]账单!$E$21</f>
        <v>2625</v>
      </c>
      <c r="J132" s="64">
        <f t="shared" si="54"/>
        <v>0</v>
      </c>
      <c r="K132" s="80"/>
    </row>
    <row r="133" customHeight="1" spans="1:11">
      <c r="A133" s="67">
        <v>43727</v>
      </c>
      <c r="B133" s="68"/>
      <c r="C133" s="68" t="s">
        <v>41</v>
      </c>
      <c r="D133" s="69">
        <f t="shared" si="52"/>
        <v>6440</v>
      </c>
      <c r="E133" s="70"/>
      <c r="F133" s="70"/>
      <c r="G133" s="71">
        <v>0</v>
      </c>
      <c r="H133" s="72">
        <f>D133+E133+F133-G133</f>
        <v>6440</v>
      </c>
      <c r="I133" s="81">
        <v>0</v>
      </c>
      <c r="J133" s="69">
        <f t="shared" si="54"/>
        <v>0</v>
      </c>
      <c r="K133" s="82"/>
    </row>
    <row r="134" customHeight="1" spans="1:11">
      <c r="A134" s="99" t="s">
        <v>0</v>
      </c>
      <c r="B134" s="60" t="s">
        <v>1</v>
      </c>
      <c r="C134" s="60" t="s">
        <v>2</v>
      </c>
      <c r="D134" s="59" t="s">
        <v>3</v>
      </c>
      <c r="E134" s="60" t="s">
        <v>4</v>
      </c>
      <c r="F134" s="60" t="s">
        <v>5</v>
      </c>
      <c r="G134" s="61" t="s">
        <v>6</v>
      </c>
      <c r="H134" s="62" t="s">
        <v>7</v>
      </c>
      <c r="I134" s="75" t="s">
        <v>8</v>
      </c>
      <c r="J134" s="59" t="s">
        <v>9</v>
      </c>
      <c r="K134" s="100" t="s">
        <v>10</v>
      </c>
    </row>
    <row r="135" customHeight="1" spans="1:11">
      <c r="A135" s="63">
        <v>43728</v>
      </c>
      <c r="B135" s="8" t="s">
        <v>11</v>
      </c>
      <c r="C135" s="8" t="s">
        <v>12</v>
      </c>
      <c r="D135" s="64">
        <f t="shared" ref="D135:D140" si="55">H128</f>
        <v>4617.7</v>
      </c>
      <c r="E135" s="6"/>
      <c r="F135" s="6"/>
      <c r="G135" s="65">
        <v>0</v>
      </c>
      <c r="H135" s="66">
        <f t="shared" ref="H135:H138" si="56">D135-G135+E135+F135</f>
        <v>4617.7</v>
      </c>
      <c r="I135" s="77">
        <v>0</v>
      </c>
      <c r="J135" s="64">
        <f t="shared" ref="J135:J140" si="57">G135-I135</f>
        <v>0</v>
      </c>
      <c r="K135" s="80"/>
    </row>
    <row r="136" customHeight="1" spans="1:11">
      <c r="A136" s="63">
        <v>43728</v>
      </c>
      <c r="B136" s="8" t="s">
        <v>65</v>
      </c>
      <c r="C136" s="8" t="s">
        <v>16</v>
      </c>
      <c r="D136" s="64">
        <f t="shared" si="55"/>
        <v>5701</v>
      </c>
      <c r="E136" s="6"/>
      <c r="F136" s="6"/>
      <c r="G136" s="65">
        <v>5</v>
      </c>
      <c r="H136" s="66">
        <f t="shared" si="56"/>
        <v>5696</v>
      </c>
      <c r="I136" s="77">
        <v>5</v>
      </c>
      <c r="J136" s="64">
        <f t="shared" si="57"/>
        <v>0</v>
      </c>
      <c r="K136" s="78"/>
    </row>
    <row r="137" customHeight="1" spans="1:11">
      <c r="A137" s="63">
        <v>43728</v>
      </c>
      <c r="B137" s="8" t="s">
        <v>31</v>
      </c>
      <c r="C137" s="8" t="s">
        <v>19</v>
      </c>
      <c r="D137" s="64">
        <f t="shared" si="55"/>
        <v>5426.27</v>
      </c>
      <c r="E137" s="6"/>
      <c r="F137" s="6"/>
      <c r="G137" s="65">
        <v>3987</v>
      </c>
      <c r="H137" s="66">
        <f t="shared" si="56"/>
        <v>1439.27</v>
      </c>
      <c r="I137" s="77">
        <f>[78]对账!$B$90+20</f>
        <v>3812</v>
      </c>
      <c r="J137" s="64">
        <f t="shared" si="57"/>
        <v>175</v>
      </c>
      <c r="K137" s="79" t="s">
        <v>76</v>
      </c>
    </row>
    <row r="138" customHeight="1" spans="1:11">
      <c r="A138" s="63">
        <v>43728</v>
      </c>
      <c r="B138" s="8" t="s">
        <v>18</v>
      </c>
      <c r="C138" s="8" t="s">
        <v>20</v>
      </c>
      <c r="D138" s="64">
        <f t="shared" si="55"/>
        <v>8706</v>
      </c>
      <c r="E138" s="6">
        <v>3.2</v>
      </c>
      <c r="F138" s="6"/>
      <c r="G138" s="65">
        <v>3264</v>
      </c>
      <c r="H138" s="66">
        <f t="shared" si="56"/>
        <v>5445.2</v>
      </c>
      <c r="I138" s="77">
        <f>[77]账单!$E$22</f>
        <v>3264</v>
      </c>
      <c r="J138" s="64">
        <f t="shared" si="57"/>
        <v>0</v>
      </c>
      <c r="K138" s="80"/>
    </row>
    <row r="139" customHeight="1" spans="1:11">
      <c r="A139" s="63">
        <v>43728</v>
      </c>
      <c r="B139" s="8" t="s">
        <v>18</v>
      </c>
      <c r="C139" s="8" t="s">
        <v>40</v>
      </c>
      <c r="D139" s="64">
        <f t="shared" si="55"/>
        <v>6709</v>
      </c>
      <c r="E139" s="6"/>
      <c r="F139" s="6"/>
      <c r="G139" s="65">
        <v>696</v>
      </c>
      <c r="H139" s="66">
        <f>D139+E139+F139-G139</f>
        <v>6013</v>
      </c>
      <c r="I139" s="77">
        <f>[76]账单!$E$22</f>
        <v>696</v>
      </c>
      <c r="J139" s="64">
        <f t="shared" si="57"/>
        <v>0</v>
      </c>
      <c r="K139" s="80"/>
    </row>
    <row r="140" customHeight="1" spans="1:11">
      <c r="A140" s="84">
        <v>43728</v>
      </c>
      <c r="B140" s="85"/>
      <c r="C140" s="85" t="s">
        <v>41</v>
      </c>
      <c r="D140" s="86">
        <f t="shared" si="55"/>
        <v>6440</v>
      </c>
      <c r="E140" s="87"/>
      <c r="F140" s="87"/>
      <c r="G140" s="88">
        <v>0</v>
      </c>
      <c r="H140" s="89">
        <f>D140+E140+F140-G140</f>
        <v>6440</v>
      </c>
      <c r="I140" s="95">
        <v>0</v>
      </c>
      <c r="J140" s="86">
        <f t="shared" si="57"/>
        <v>0</v>
      </c>
      <c r="K140" s="96"/>
    </row>
    <row r="141" customHeight="1" spans="1:11">
      <c r="A141" s="99" t="s">
        <v>0</v>
      </c>
      <c r="B141" s="60" t="s">
        <v>1</v>
      </c>
      <c r="C141" s="60" t="s">
        <v>2</v>
      </c>
      <c r="D141" s="59" t="s">
        <v>3</v>
      </c>
      <c r="E141" s="60" t="s">
        <v>4</v>
      </c>
      <c r="F141" s="60" t="s">
        <v>5</v>
      </c>
      <c r="G141" s="61" t="s">
        <v>6</v>
      </c>
      <c r="H141" s="62" t="s">
        <v>7</v>
      </c>
      <c r="I141" s="75" t="s">
        <v>8</v>
      </c>
      <c r="J141" s="59" t="s">
        <v>9</v>
      </c>
      <c r="K141" s="100" t="s">
        <v>10</v>
      </c>
    </row>
    <row r="142" customHeight="1" spans="1:11">
      <c r="A142" s="63">
        <v>43729</v>
      </c>
      <c r="B142" s="8" t="s">
        <v>11</v>
      </c>
      <c r="C142" s="8" t="s">
        <v>12</v>
      </c>
      <c r="D142" s="64">
        <f t="shared" ref="D142:D147" si="58">H135</f>
        <v>4617.7</v>
      </c>
      <c r="E142" s="6"/>
      <c r="F142" s="6">
        <v>2.92</v>
      </c>
      <c r="G142" s="65">
        <v>35</v>
      </c>
      <c r="H142" s="66">
        <f t="shared" ref="H142:H145" si="59">D142-G142+E142+F142</f>
        <v>4585.62</v>
      </c>
      <c r="I142" s="77">
        <v>35</v>
      </c>
      <c r="J142" s="64">
        <f t="shared" ref="J142:J147" si="60">G142-I142</f>
        <v>0</v>
      </c>
      <c r="K142" s="80"/>
    </row>
    <row r="143" customHeight="1" spans="1:11">
      <c r="A143" s="63">
        <v>43729</v>
      </c>
      <c r="B143" s="8" t="s">
        <v>65</v>
      </c>
      <c r="C143" s="8" t="s">
        <v>16</v>
      </c>
      <c r="D143" s="64">
        <f t="shared" si="58"/>
        <v>5696</v>
      </c>
      <c r="E143" s="6"/>
      <c r="F143" s="6">
        <v>3.88</v>
      </c>
      <c r="G143" s="65">
        <v>640</v>
      </c>
      <c r="H143" s="66">
        <f t="shared" si="59"/>
        <v>5059.88</v>
      </c>
      <c r="I143" s="77">
        <v>640</v>
      </c>
      <c r="J143" s="64">
        <f t="shared" si="60"/>
        <v>0</v>
      </c>
      <c r="K143" s="78"/>
    </row>
    <row r="144" customHeight="1" spans="1:11">
      <c r="A144" s="63">
        <v>43729</v>
      </c>
      <c r="B144" s="8" t="s">
        <v>31</v>
      </c>
      <c r="C144" s="8" t="s">
        <v>19</v>
      </c>
      <c r="D144" s="64">
        <f t="shared" si="58"/>
        <v>1439.27</v>
      </c>
      <c r="E144" s="6">
        <v>10000</v>
      </c>
      <c r="F144" s="6">
        <v>3.53</v>
      </c>
      <c r="G144" s="65">
        <v>3372</v>
      </c>
      <c r="H144" s="66">
        <f t="shared" si="59"/>
        <v>8070.8</v>
      </c>
      <c r="I144" s="77">
        <f>[78]对账!$B$91</f>
        <v>3363</v>
      </c>
      <c r="J144" s="64">
        <f t="shared" si="60"/>
        <v>9</v>
      </c>
      <c r="K144" s="79"/>
    </row>
    <row r="145" customHeight="1" spans="1:11">
      <c r="A145" s="63">
        <v>43729</v>
      </c>
      <c r="B145" s="8" t="s">
        <v>18</v>
      </c>
      <c r="C145" s="8" t="s">
        <v>20</v>
      </c>
      <c r="D145" s="64">
        <f t="shared" si="58"/>
        <v>5445.2</v>
      </c>
      <c r="E145" s="6">
        <v>8</v>
      </c>
      <c r="F145" s="6"/>
      <c r="G145" s="65">
        <v>3929</v>
      </c>
      <c r="H145" s="66">
        <f t="shared" si="59"/>
        <v>1524.2</v>
      </c>
      <c r="I145" s="77">
        <f>[77]账单!$E$23</f>
        <v>3929</v>
      </c>
      <c r="J145" s="64">
        <f t="shared" si="60"/>
        <v>0</v>
      </c>
      <c r="K145" s="80"/>
    </row>
    <row r="146" customHeight="1" spans="1:11">
      <c r="A146" s="63">
        <v>43729</v>
      </c>
      <c r="B146" s="8" t="s">
        <v>18</v>
      </c>
      <c r="C146" s="8" t="s">
        <v>40</v>
      </c>
      <c r="D146" s="64">
        <f t="shared" si="58"/>
        <v>6013</v>
      </c>
      <c r="E146" s="6"/>
      <c r="F146" s="6">
        <v>2.64</v>
      </c>
      <c r="G146" s="65">
        <v>921</v>
      </c>
      <c r="H146" s="66">
        <f>D146+E146+F146-G146</f>
        <v>5094.64</v>
      </c>
      <c r="I146" s="77">
        <f>[76]账单!$E$23</f>
        <v>921</v>
      </c>
      <c r="J146" s="64">
        <f t="shared" si="60"/>
        <v>0</v>
      </c>
      <c r="K146" s="80"/>
    </row>
    <row r="147" customHeight="1" spans="1:11">
      <c r="A147" s="67">
        <v>43729</v>
      </c>
      <c r="B147" s="68"/>
      <c r="C147" s="68" t="s">
        <v>41</v>
      </c>
      <c r="D147" s="69">
        <f t="shared" si="58"/>
        <v>6440</v>
      </c>
      <c r="E147" s="70"/>
      <c r="F147" s="70">
        <v>4.61</v>
      </c>
      <c r="G147" s="71">
        <v>0</v>
      </c>
      <c r="H147" s="72">
        <f>D147+E147+F147-G147</f>
        <v>6444.61</v>
      </c>
      <c r="I147" s="81">
        <v>0</v>
      </c>
      <c r="J147" s="69">
        <f t="shared" si="60"/>
        <v>0</v>
      </c>
      <c r="K147" s="82"/>
    </row>
    <row r="148" customHeight="1" spans="1:11">
      <c r="A148" s="99" t="s">
        <v>0</v>
      </c>
      <c r="B148" s="60" t="s">
        <v>1</v>
      </c>
      <c r="C148" s="60" t="s">
        <v>2</v>
      </c>
      <c r="D148" s="59" t="s">
        <v>3</v>
      </c>
      <c r="E148" s="60" t="s">
        <v>4</v>
      </c>
      <c r="F148" s="60" t="s">
        <v>5</v>
      </c>
      <c r="G148" s="61" t="s">
        <v>6</v>
      </c>
      <c r="H148" s="62" t="s">
        <v>7</v>
      </c>
      <c r="I148" s="75" t="s">
        <v>8</v>
      </c>
      <c r="J148" s="59" t="s">
        <v>9</v>
      </c>
      <c r="K148" s="100" t="s">
        <v>10</v>
      </c>
    </row>
    <row r="149" customHeight="1" spans="1:11">
      <c r="A149" s="63">
        <v>43730</v>
      </c>
      <c r="B149" s="8" t="s">
        <v>11</v>
      </c>
      <c r="C149" s="8" t="s">
        <v>12</v>
      </c>
      <c r="D149" s="64">
        <f t="shared" ref="D149:D154" si="61">H142</f>
        <v>4585.62</v>
      </c>
      <c r="E149" s="6"/>
      <c r="F149" s="6"/>
      <c r="G149" s="65">
        <v>60</v>
      </c>
      <c r="H149" s="66">
        <f t="shared" ref="H149:H152" si="62">D149-G149+E149+F149</f>
        <v>4525.62</v>
      </c>
      <c r="I149" s="77">
        <f>[64]对账!$B$117</f>
        <v>65</v>
      </c>
      <c r="J149" s="64">
        <f t="shared" ref="J149:J154" si="63">G149-I149</f>
        <v>-5</v>
      </c>
      <c r="K149" s="80"/>
    </row>
    <row r="150" customHeight="1" spans="1:11">
      <c r="A150" s="63">
        <v>43730</v>
      </c>
      <c r="B150" s="8" t="s">
        <v>65</v>
      </c>
      <c r="C150" s="8" t="s">
        <v>16</v>
      </c>
      <c r="D150" s="64">
        <f t="shared" si="61"/>
        <v>5059.88</v>
      </c>
      <c r="E150" s="6"/>
      <c r="F150" s="6"/>
      <c r="G150" s="65">
        <v>875</v>
      </c>
      <c r="H150" s="66">
        <f t="shared" si="62"/>
        <v>4184.88</v>
      </c>
      <c r="I150" s="77">
        <f>[81]好评返现对账!$B$98</f>
        <v>772</v>
      </c>
      <c r="J150" s="64">
        <f t="shared" si="63"/>
        <v>103</v>
      </c>
      <c r="K150" s="78" t="s">
        <v>77</v>
      </c>
    </row>
    <row r="151" customHeight="1" spans="1:11">
      <c r="A151" s="63">
        <v>43730</v>
      </c>
      <c r="B151" s="8" t="s">
        <v>31</v>
      </c>
      <c r="C151" s="8" t="s">
        <v>19</v>
      </c>
      <c r="D151" s="64">
        <f t="shared" si="61"/>
        <v>8070.8</v>
      </c>
      <c r="E151" s="6"/>
      <c r="F151" s="6">
        <f>59+79</f>
        <v>138</v>
      </c>
      <c r="G151" s="65">
        <f>3770</f>
        <v>3770</v>
      </c>
      <c r="H151" s="66">
        <f t="shared" si="62"/>
        <v>4438.8</v>
      </c>
      <c r="I151" s="77">
        <f>[74]对账!$B$92</f>
        <v>3676</v>
      </c>
      <c r="J151" s="64">
        <f t="shared" si="63"/>
        <v>94</v>
      </c>
      <c r="K151" s="79" t="s">
        <v>78</v>
      </c>
    </row>
    <row r="152" customHeight="1" spans="1:11">
      <c r="A152" s="63">
        <v>43730</v>
      </c>
      <c r="B152" s="8" t="s">
        <v>18</v>
      </c>
      <c r="C152" s="8" t="s">
        <v>20</v>
      </c>
      <c r="D152" s="64">
        <f t="shared" si="61"/>
        <v>1524.2</v>
      </c>
      <c r="E152" s="6">
        <v>10000</v>
      </c>
      <c r="F152" s="6"/>
      <c r="G152" s="65">
        <f>1398+5</f>
        <v>1403</v>
      </c>
      <c r="H152" s="66">
        <f t="shared" si="62"/>
        <v>10121.2</v>
      </c>
      <c r="I152" s="77">
        <f>[80]账单!$E$24</f>
        <v>1398</v>
      </c>
      <c r="J152" s="64">
        <f t="shared" si="63"/>
        <v>5</v>
      </c>
      <c r="K152" s="80"/>
    </row>
    <row r="153" customHeight="1" spans="1:11">
      <c r="A153" s="63">
        <v>43730</v>
      </c>
      <c r="B153" s="8" t="s">
        <v>18</v>
      </c>
      <c r="C153" s="8" t="s">
        <v>40</v>
      </c>
      <c r="D153" s="64">
        <f t="shared" si="61"/>
        <v>5094.64</v>
      </c>
      <c r="E153" s="6"/>
      <c r="F153" s="6"/>
      <c r="G153" s="65">
        <v>2782</v>
      </c>
      <c r="H153" s="66">
        <f>D153+E153+F153-G153</f>
        <v>2312.64</v>
      </c>
      <c r="I153" s="77">
        <f>[79]账单!$E$24</f>
        <v>2782</v>
      </c>
      <c r="J153" s="64">
        <f t="shared" si="63"/>
        <v>0</v>
      </c>
      <c r="K153" s="80"/>
    </row>
    <row r="154" customHeight="1" spans="1:11">
      <c r="A154" s="67">
        <v>43730</v>
      </c>
      <c r="B154" s="68"/>
      <c r="C154" s="68" t="s">
        <v>41</v>
      </c>
      <c r="D154" s="69">
        <f t="shared" si="61"/>
        <v>6444.61</v>
      </c>
      <c r="E154" s="70"/>
      <c r="F154" s="70"/>
      <c r="G154" s="71">
        <v>0</v>
      </c>
      <c r="H154" s="72">
        <f>D154+E154+F154-G154</f>
        <v>6444.61</v>
      </c>
      <c r="I154" s="81">
        <v>0</v>
      </c>
      <c r="J154" s="69">
        <f t="shared" si="63"/>
        <v>0</v>
      </c>
      <c r="K154" s="82"/>
    </row>
    <row r="155" customHeight="1" spans="1:11">
      <c r="A155" s="99" t="s">
        <v>0</v>
      </c>
      <c r="B155" s="60" t="s">
        <v>1</v>
      </c>
      <c r="C155" s="60" t="s">
        <v>2</v>
      </c>
      <c r="D155" s="59" t="s">
        <v>3</v>
      </c>
      <c r="E155" s="60" t="s">
        <v>4</v>
      </c>
      <c r="F155" s="60" t="s">
        <v>5</v>
      </c>
      <c r="G155" s="61" t="s">
        <v>6</v>
      </c>
      <c r="H155" s="62" t="s">
        <v>7</v>
      </c>
      <c r="I155" s="75" t="s">
        <v>8</v>
      </c>
      <c r="J155" s="59" t="s">
        <v>9</v>
      </c>
      <c r="K155" s="100" t="s">
        <v>10</v>
      </c>
    </row>
    <row r="156" customHeight="1" spans="1:11">
      <c r="A156" s="63">
        <v>43731</v>
      </c>
      <c r="B156" s="8" t="s">
        <v>11</v>
      </c>
      <c r="C156" s="8" t="s">
        <v>12</v>
      </c>
      <c r="D156" s="64">
        <f t="shared" ref="D156:D161" si="64">H149</f>
        <v>4525.62</v>
      </c>
      <c r="E156" s="6"/>
      <c r="F156" s="6"/>
      <c r="G156" s="65">
        <v>15</v>
      </c>
      <c r="H156" s="66">
        <f t="shared" ref="H156:H159" si="65">D156-G156+E156+F156</f>
        <v>4510.62</v>
      </c>
      <c r="I156" s="77">
        <f>[64]对账!$B$118</f>
        <v>15</v>
      </c>
      <c r="J156" s="64">
        <f t="shared" ref="J156:J161" si="66">G156-I156</f>
        <v>0</v>
      </c>
      <c r="K156" s="80"/>
    </row>
    <row r="157" customHeight="1" spans="1:11">
      <c r="A157" s="63">
        <v>43731</v>
      </c>
      <c r="B157" s="8" t="s">
        <v>65</v>
      </c>
      <c r="C157" s="8" t="s">
        <v>16</v>
      </c>
      <c r="D157" s="64">
        <f t="shared" si="64"/>
        <v>4184.88</v>
      </c>
      <c r="E157" s="6"/>
      <c r="F157" s="6"/>
      <c r="G157" s="65">
        <v>20</v>
      </c>
      <c r="H157" s="66">
        <f t="shared" si="65"/>
        <v>4164.88</v>
      </c>
      <c r="I157" s="77">
        <f>[81]好评返现对账!$B$99</f>
        <v>20</v>
      </c>
      <c r="J157" s="64">
        <f t="shared" si="66"/>
        <v>0</v>
      </c>
      <c r="K157" s="78"/>
    </row>
    <row r="158" customHeight="1" spans="1:11">
      <c r="A158" s="63">
        <v>43731</v>
      </c>
      <c r="B158" s="8" t="s">
        <v>31</v>
      </c>
      <c r="C158" s="8" t="s">
        <v>19</v>
      </c>
      <c r="D158" s="64">
        <f t="shared" si="64"/>
        <v>4438.8</v>
      </c>
      <c r="E158" s="6">
        <v>10000</v>
      </c>
      <c r="F158" s="6"/>
      <c r="G158" s="65">
        <v>4107</v>
      </c>
      <c r="H158" s="66">
        <f t="shared" si="65"/>
        <v>10331.8</v>
      </c>
      <c r="I158" s="77">
        <f>[74]对账!$B$93</f>
        <v>4102</v>
      </c>
      <c r="J158" s="64">
        <f t="shared" si="66"/>
        <v>5</v>
      </c>
      <c r="K158" s="79"/>
    </row>
    <row r="159" customHeight="1" spans="1:11">
      <c r="A159" s="63">
        <v>43731</v>
      </c>
      <c r="B159" s="8" t="s">
        <v>18</v>
      </c>
      <c r="C159" s="8" t="s">
        <v>20</v>
      </c>
      <c r="D159" s="64">
        <f t="shared" si="64"/>
        <v>10121.2</v>
      </c>
      <c r="E159" s="6"/>
      <c r="F159" s="6"/>
      <c r="G159" s="65">
        <v>2800</v>
      </c>
      <c r="H159" s="66">
        <f t="shared" si="65"/>
        <v>7321.2</v>
      </c>
      <c r="I159" s="77">
        <f>[80]账单!$E$25</f>
        <v>2800</v>
      </c>
      <c r="J159" s="64">
        <f t="shared" si="66"/>
        <v>0</v>
      </c>
      <c r="K159" s="80"/>
    </row>
    <row r="160" customHeight="1" spans="1:11">
      <c r="A160" s="63">
        <v>43731</v>
      </c>
      <c r="B160" s="8" t="s">
        <v>18</v>
      </c>
      <c r="C160" s="8" t="s">
        <v>40</v>
      </c>
      <c r="D160" s="64">
        <f t="shared" si="64"/>
        <v>2312.64</v>
      </c>
      <c r="E160" s="6"/>
      <c r="F160" s="6"/>
      <c r="G160" s="65">
        <v>1582</v>
      </c>
      <c r="H160" s="66">
        <f>D160+E160+F160-G160</f>
        <v>730.64</v>
      </c>
      <c r="I160" s="77">
        <f>[79]账单!$E$25</f>
        <v>1582</v>
      </c>
      <c r="J160" s="64">
        <f t="shared" si="66"/>
        <v>0</v>
      </c>
      <c r="K160" s="80"/>
    </row>
    <row r="161" customHeight="1" spans="1:11">
      <c r="A161" s="67">
        <v>43731</v>
      </c>
      <c r="B161" s="68"/>
      <c r="C161" s="68" t="s">
        <v>41</v>
      </c>
      <c r="D161" s="69">
        <f t="shared" si="64"/>
        <v>6444.61</v>
      </c>
      <c r="E161" s="70"/>
      <c r="F161" s="70"/>
      <c r="G161" s="71">
        <v>0</v>
      </c>
      <c r="H161" s="72">
        <f>D161+E161+F161-G161</f>
        <v>6444.61</v>
      </c>
      <c r="I161" s="81">
        <v>0</v>
      </c>
      <c r="J161" s="69">
        <f t="shared" si="66"/>
        <v>0</v>
      </c>
      <c r="K161" s="82"/>
    </row>
    <row r="162" customHeight="1" spans="1:11">
      <c r="A162" s="99" t="s">
        <v>0</v>
      </c>
      <c r="B162" s="60" t="s">
        <v>1</v>
      </c>
      <c r="C162" s="60" t="s">
        <v>2</v>
      </c>
      <c r="D162" s="59" t="s">
        <v>3</v>
      </c>
      <c r="E162" s="60" t="s">
        <v>4</v>
      </c>
      <c r="F162" s="60" t="s">
        <v>5</v>
      </c>
      <c r="G162" s="61" t="s">
        <v>6</v>
      </c>
      <c r="H162" s="62" t="s">
        <v>7</v>
      </c>
      <c r="I162" s="75" t="s">
        <v>8</v>
      </c>
      <c r="J162" s="59" t="s">
        <v>9</v>
      </c>
      <c r="K162" s="100" t="s">
        <v>10</v>
      </c>
    </row>
    <row r="163" customHeight="1" spans="1:11">
      <c r="A163" s="63">
        <v>43732</v>
      </c>
      <c r="B163" s="8" t="s">
        <v>11</v>
      </c>
      <c r="C163" s="8" t="s">
        <v>12</v>
      </c>
      <c r="D163" s="64">
        <f t="shared" ref="D163:D168" si="67">H156</f>
        <v>4510.62</v>
      </c>
      <c r="E163" s="6"/>
      <c r="F163" s="6"/>
      <c r="G163" s="65">
        <v>0</v>
      </c>
      <c r="H163" s="66">
        <f t="shared" ref="H163:H166" si="68">D163-G163+E163+F163</f>
        <v>4510.62</v>
      </c>
      <c r="I163" s="77">
        <f>[64]对账!$B$119</f>
        <v>10</v>
      </c>
      <c r="J163" s="64">
        <f t="shared" ref="J163:J168" si="69">G163-I163</f>
        <v>-10</v>
      </c>
      <c r="K163" s="80"/>
    </row>
    <row r="164" customHeight="1" spans="1:11">
      <c r="A164" s="63">
        <v>43732</v>
      </c>
      <c r="B164" s="8" t="s">
        <v>65</v>
      </c>
      <c r="C164" s="8" t="s">
        <v>16</v>
      </c>
      <c r="D164" s="64">
        <f t="shared" si="67"/>
        <v>4164.88</v>
      </c>
      <c r="E164" s="6"/>
      <c r="F164" s="6"/>
      <c r="G164" s="65">
        <v>94</v>
      </c>
      <c r="H164" s="66">
        <f t="shared" si="68"/>
        <v>4070.88</v>
      </c>
      <c r="I164" s="77">
        <f>[81]好评返现对账!$B$100</f>
        <v>94</v>
      </c>
      <c r="J164" s="64">
        <f t="shared" si="69"/>
        <v>0</v>
      </c>
      <c r="K164" s="78"/>
    </row>
    <row r="165" customHeight="1" spans="1:11">
      <c r="A165" s="63">
        <v>43732</v>
      </c>
      <c r="B165" s="8" t="s">
        <v>31</v>
      </c>
      <c r="C165" s="8" t="s">
        <v>19</v>
      </c>
      <c r="D165" s="64">
        <f t="shared" si="67"/>
        <v>10331.8</v>
      </c>
      <c r="E165" s="6"/>
      <c r="F165" s="6">
        <v>5</v>
      </c>
      <c r="G165" s="65">
        <v>4429</v>
      </c>
      <c r="H165" s="66">
        <f t="shared" si="68"/>
        <v>5907.8</v>
      </c>
      <c r="I165" s="77">
        <f>[74]对账!$B$94</f>
        <v>4478</v>
      </c>
      <c r="J165" s="64">
        <f t="shared" si="69"/>
        <v>-49</v>
      </c>
      <c r="K165" s="79"/>
    </row>
    <row r="166" customHeight="1" spans="1:11">
      <c r="A166" s="63">
        <v>43732</v>
      </c>
      <c r="B166" s="8" t="s">
        <v>18</v>
      </c>
      <c r="C166" s="8" t="s">
        <v>20</v>
      </c>
      <c r="D166" s="64">
        <f t="shared" si="67"/>
        <v>7321.2</v>
      </c>
      <c r="E166" s="6"/>
      <c r="F166" s="6"/>
      <c r="G166" s="65">
        <v>3097</v>
      </c>
      <c r="H166" s="66">
        <f t="shared" si="68"/>
        <v>4224.2</v>
      </c>
      <c r="I166" s="77">
        <f>[80]账单!$E$26</f>
        <v>3097</v>
      </c>
      <c r="J166" s="64">
        <f t="shared" si="69"/>
        <v>0</v>
      </c>
      <c r="K166" s="80"/>
    </row>
    <row r="167" customHeight="1" spans="1:11">
      <c r="A167" s="63">
        <v>43732</v>
      </c>
      <c r="B167" s="8" t="s">
        <v>18</v>
      </c>
      <c r="C167" s="8" t="s">
        <v>40</v>
      </c>
      <c r="D167" s="64">
        <f t="shared" si="67"/>
        <v>730.64</v>
      </c>
      <c r="E167" s="6">
        <v>10000</v>
      </c>
      <c r="F167" s="6"/>
      <c r="G167" s="65">
        <v>818</v>
      </c>
      <c r="H167" s="66">
        <f>D167+E167+F167-G167</f>
        <v>9912.64</v>
      </c>
      <c r="I167" s="77">
        <f>[79]账单!$E$26</f>
        <v>818</v>
      </c>
      <c r="J167" s="64">
        <f t="shared" si="69"/>
        <v>0</v>
      </c>
      <c r="K167" s="80"/>
    </row>
    <row r="168" customHeight="1" spans="1:11">
      <c r="A168" s="67">
        <v>43732</v>
      </c>
      <c r="B168" s="68"/>
      <c r="C168" s="68" t="s">
        <v>41</v>
      </c>
      <c r="D168" s="69">
        <f t="shared" si="67"/>
        <v>6444.61</v>
      </c>
      <c r="E168" s="70"/>
      <c r="F168" s="70"/>
      <c r="G168" s="71">
        <v>0</v>
      </c>
      <c r="H168" s="72">
        <f>D168+E168+F168-G168</f>
        <v>6444.61</v>
      </c>
      <c r="I168" s="81">
        <v>0</v>
      </c>
      <c r="J168" s="69">
        <f t="shared" si="69"/>
        <v>0</v>
      </c>
      <c r="K168" s="82"/>
    </row>
    <row r="169" customHeight="1" spans="1:11">
      <c r="A169" s="99" t="s">
        <v>0</v>
      </c>
      <c r="B169" s="60" t="s">
        <v>1</v>
      </c>
      <c r="C169" s="60" t="s">
        <v>2</v>
      </c>
      <c r="D169" s="59" t="s">
        <v>3</v>
      </c>
      <c r="E169" s="60" t="s">
        <v>4</v>
      </c>
      <c r="F169" s="60" t="s">
        <v>5</v>
      </c>
      <c r="G169" s="61" t="s">
        <v>6</v>
      </c>
      <c r="H169" s="62" t="s">
        <v>7</v>
      </c>
      <c r="I169" s="75" t="s">
        <v>8</v>
      </c>
      <c r="J169" s="59" t="s">
        <v>9</v>
      </c>
      <c r="K169" s="100" t="s">
        <v>10</v>
      </c>
    </row>
    <row r="170" customHeight="1" spans="1:11">
      <c r="A170" s="63">
        <v>43733</v>
      </c>
      <c r="B170" s="8" t="s">
        <v>11</v>
      </c>
      <c r="C170" s="8" t="s">
        <v>12</v>
      </c>
      <c r="D170" s="64">
        <f t="shared" ref="D170:D175" si="70">H163</f>
        <v>4510.62</v>
      </c>
      <c r="E170" s="6"/>
      <c r="F170" s="6"/>
      <c r="G170" s="65">
        <v>0</v>
      </c>
      <c r="H170" s="66">
        <f t="shared" ref="H170:H173" si="71">D170-G170+E170+F170</f>
        <v>4510.62</v>
      </c>
      <c r="I170" s="77">
        <f>[64]对账!$B$120</f>
        <v>5</v>
      </c>
      <c r="J170" s="64">
        <f t="shared" ref="J170:J175" si="72">G170-I170</f>
        <v>-5</v>
      </c>
      <c r="K170" s="80"/>
    </row>
    <row r="171" customHeight="1" spans="1:11">
      <c r="A171" s="63">
        <v>43733</v>
      </c>
      <c r="B171" s="8" t="s">
        <v>65</v>
      </c>
      <c r="C171" s="8" t="s">
        <v>16</v>
      </c>
      <c r="D171" s="64">
        <f t="shared" si="70"/>
        <v>4070.88</v>
      </c>
      <c r="E171" s="6"/>
      <c r="F171" s="6"/>
      <c r="G171" s="65">
        <v>236</v>
      </c>
      <c r="H171" s="66">
        <f t="shared" si="71"/>
        <v>3834.88</v>
      </c>
      <c r="I171" s="77">
        <f>[81]好评返现对账!$B$101</f>
        <v>236</v>
      </c>
      <c r="J171" s="64">
        <f t="shared" si="72"/>
        <v>0</v>
      </c>
      <c r="K171" s="78"/>
    </row>
    <row r="172" customHeight="1" spans="1:11">
      <c r="A172" s="63">
        <v>43733</v>
      </c>
      <c r="B172" s="8" t="s">
        <v>31</v>
      </c>
      <c r="C172" s="8" t="s">
        <v>19</v>
      </c>
      <c r="D172" s="64">
        <f t="shared" si="70"/>
        <v>5907.8</v>
      </c>
      <c r="E172" s="6"/>
      <c r="F172" s="6"/>
      <c r="G172" s="65">
        <v>3679</v>
      </c>
      <c r="H172" s="66">
        <f t="shared" si="71"/>
        <v>2228.8</v>
      </c>
      <c r="I172" s="77">
        <f>[74]对账!$B$95</f>
        <v>3674</v>
      </c>
      <c r="J172" s="64">
        <f t="shared" si="72"/>
        <v>5</v>
      </c>
      <c r="K172" s="79"/>
    </row>
    <row r="173" customHeight="1" spans="1:11">
      <c r="A173" s="63">
        <v>43733</v>
      </c>
      <c r="B173" s="8" t="s">
        <v>18</v>
      </c>
      <c r="C173" s="8" t="s">
        <v>20</v>
      </c>
      <c r="D173" s="64">
        <f t="shared" si="70"/>
        <v>4224.2</v>
      </c>
      <c r="E173" s="6"/>
      <c r="F173" s="6"/>
      <c r="G173" s="65">
        <v>2686</v>
      </c>
      <c r="H173" s="66">
        <f t="shared" si="71"/>
        <v>1538.2</v>
      </c>
      <c r="I173" s="77">
        <f>[80]账单!$E$27</f>
        <v>2686</v>
      </c>
      <c r="J173" s="64">
        <f t="shared" si="72"/>
        <v>0</v>
      </c>
      <c r="K173" s="80"/>
    </row>
    <row r="174" customHeight="1" spans="1:11">
      <c r="A174" s="63">
        <v>43733</v>
      </c>
      <c r="B174" s="8" t="s">
        <v>18</v>
      </c>
      <c r="C174" s="8" t="s">
        <v>40</v>
      </c>
      <c r="D174" s="64">
        <f t="shared" si="70"/>
        <v>9912.64</v>
      </c>
      <c r="E174" s="6"/>
      <c r="F174" s="6"/>
      <c r="G174" s="65">
        <v>1042</v>
      </c>
      <c r="H174" s="66">
        <f>D174+E174+F174-G174</f>
        <v>8870.64</v>
      </c>
      <c r="I174" s="77">
        <f>[79]账单!$E$27</f>
        <v>1042</v>
      </c>
      <c r="J174" s="64">
        <f t="shared" si="72"/>
        <v>0</v>
      </c>
      <c r="K174" s="80"/>
    </row>
    <row r="175" customHeight="1" spans="1:11">
      <c r="A175" s="67">
        <v>43733</v>
      </c>
      <c r="B175" s="68"/>
      <c r="C175" s="68" t="s">
        <v>41</v>
      </c>
      <c r="D175" s="69">
        <f t="shared" si="70"/>
        <v>6444.61</v>
      </c>
      <c r="E175" s="70"/>
      <c r="F175" s="70"/>
      <c r="G175" s="71">
        <v>0</v>
      </c>
      <c r="H175" s="72">
        <f>D175+E175+F175-G175</f>
        <v>6444.61</v>
      </c>
      <c r="I175" s="81">
        <v>0</v>
      </c>
      <c r="J175" s="69">
        <f t="shared" si="72"/>
        <v>0</v>
      </c>
      <c r="K175" s="82"/>
    </row>
    <row r="176" customHeight="1" spans="1:11">
      <c r="A176" s="99" t="s">
        <v>0</v>
      </c>
      <c r="B176" s="60" t="s">
        <v>1</v>
      </c>
      <c r="C176" s="60" t="s">
        <v>2</v>
      </c>
      <c r="D176" s="59" t="s">
        <v>3</v>
      </c>
      <c r="E176" s="60" t="s">
        <v>4</v>
      </c>
      <c r="F176" s="60" t="s">
        <v>5</v>
      </c>
      <c r="G176" s="61" t="s">
        <v>6</v>
      </c>
      <c r="H176" s="62" t="s">
        <v>7</v>
      </c>
      <c r="I176" s="75" t="s">
        <v>8</v>
      </c>
      <c r="J176" s="59" t="s">
        <v>9</v>
      </c>
      <c r="K176" s="100" t="s">
        <v>10</v>
      </c>
    </row>
    <row r="177" customHeight="1" spans="1:11">
      <c r="A177" s="63">
        <v>43734</v>
      </c>
      <c r="B177" s="8" t="s">
        <v>11</v>
      </c>
      <c r="C177" s="8" t="s">
        <v>12</v>
      </c>
      <c r="D177" s="64">
        <f t="shared" ref="D177:D182" si="73">H170</f>
        <v>4510.62</v>
      </c>
      <c r="E177" s="6"/>
      <c r="F177" s="6"/>
      <c r="G177" s="65">
        <v>0</v>
      </c>
      <c r="H177" s="66">
        <f t="shared" ref="H177:H180" si="74">D177-G177+E177+F177</f>
        <v>4510.62</v>
      </c>
      <c r="I177" s="77">
        <f>[64]对账!$B$121</f>
        <v>10</v>
      </c>
      <c r="J177" s="64">
        <f t="shared" ref="J177:J182" si="75">G177-I177</f>
        <v>-10</v>
      </c>
      <c r="K177" s="80"/>
    </row>
    <row r="178" customHeight="1" spans="1:11">
      <c r="A178" s="63">
        <v>43734</v>
      </c>
      <c r="B178" s="8" t="s">
        <v>65</v>
      </c>
      <c r="C178" s="8" t="s">
        <v>16</v>
      </c>
      <c r="D178" s="64">
        <f t="shared" si="73"/>
        <v>3834.88</v>
      </c>
      <c r="E178" s="6"/>
      <c r="F178" s="6"/>
      <c r="G178" s="65">
        <v>30</v>
      </c>
      <c r="H178" s="66">
        <f t="shared" si="74"/>
        <v>3804.88</v>
      </c>
      <c r="I178" s="77">
        <f>[81]好评返现对账!$B$102</f>
        <v>30</v>
      </c>
      <c r="J178" s="64">
        <f t="shared" si="75"/>
        <v>0</v>
      </c>
      <c r="K178" s="78"/>
    </row>
    <row r="179" customHeight="1" spans="1:11">
      <c r="A179" s="63">
        <v>43734</v>
      </c>
      <c r="B179" s="8" t="s">
        <v>31</v>
      </c>
      <c r="C179" s="8" t="s">
        <v>19</v>
      </c>
      <c r="D179" s="64">
        <f t="shared" si="73"/>
        <v>2228.8</v>
      </c>
      <c r="E179" s="6">
        <v>10000</v>
      </c>
      <c r="F179" s="6">
        <v>59</v>
      </c>
      <c r="G179" s="65">
        <v>3868</v>
      </c>
      <c r="H179" s="66">
        <f t="shared" si="74"/>
        <v>8419.8</v>
      </c>
      <c r="I179" s="77">
        <f>[74]对账!$B$96</f>
        <v>3764</v>
      </c>
      <c r="J179" s="64">
        <f t="shared" si="75"/>
        <v>104</v>
      </c>
      <c r="K179" s="79" t="s">
        <v>17</v>
      </c>
    </row>
    <row r="180" customHeight="1" spans="1:11">
      <c r="A180" s="63">
        <v>43734</v>
      </c>
      <c r="B180" s="8" t="s">
        <v>18</v>
      </c>
      <c r="C180" s="8" t="s">
        <v>20</v>
      </c>
      <c r="D180" s="64">
        <f t="shared" si="73"/>
        <v>1538.2</v>
      </c>
      <c r="E180" s="6">
        <v>10000</v>
      </c>
      <c r="F180" s="6"/>
      <c r="G180" s="65">
        <f>3181-3</f>
        <v>3178</v>
      </c>
      <c r="H180" s="66">
        <f t="shared" si="74"/>
        <v>8360.2</v>
      </c>
      <c r="I180" s="77">
        <f>[80]账单!$E$28</f>
        <v>3181</v>
      </c>
      <c r="J180" s="64">
        <f t="shared" si="75"/>
        <v>-3</v>
      </c>
      <c r="K180" s="80"/>
    </row>
    <row r="181" customHeight="1" spans="1:11">
      <c r="A181" s="63">
        <v>43734</v>
      </c>
      <c r="B181" s="8" t="s">
        <v>18</v>
      </c>
      <c r="C181" s="8" t="s">
        <v>40</v>
      </c>
      <c r="D181" s="64">
        <f t="shared" si="73"/>
        <v>8870.64</v>
      </c>
      <c r="E181" s="6"/>
      <c r="F181" s="6"/>
      <c r="G181" s="65">
        <v>396</v>
      </c>
      <c r="H181" s="66">
        <f>D181+E181+F181-G181</f>
        <v>8474.64</v>
      </c>
      <c r="I181" s="77">
        <f>[79]账单!$E$28</f>
        <v>396</v>
      </c>
      <c r="J181" s="64">
        <f t="shared" si="75"/>
        <v>0</v>
      </c>
      <c r="K181" s="80"/>
    </row>
    <row r="182" customHeight="1" spans="1:11">
      <c r="A182" s="67">
        <v>43734</v>
      </c>
      <c r="B182" s="68"/>
      <c r="C182" s="68" t="s">
        <v>41</v>
      </c>
      <c r="D182" s="69">
        <f t="shared" si="73"/>
        <v>6444.61</v>
      </c>
      <c r="E182" s="70"/>
      <c r="F182" s="70"/>
      <c r="G182" s="71">
        <v>0</v>
      </c>
      <c r="H182" s="72">
        <f>D182+E182+F182-G182</f>
        <v>6444.61</v>
      </c>
      <c r="I182" s="81">
        <v>0</v>
      </c>
      <c r="J182" s="69">
        <f t="shared" si="75"/>
        <v>0</v>
      </c>
      <c r="K182" s="82"/>
    </row>
    <row r="183" customHeight="1" spans="1:11">
      <c r="A183" s="99" t="s">
        <v>0</v>
      </c>
      <c r="B183" s="60" t="s">
        <v>1</v>
      </c>
      <c r="C183" s="60" t="s">
        <v>2</v>
      </c>
      <c r="D183" s="59" t="s">
        <v>3</v>
      </c>
      <c r="E183" s="60" t="s">
        <v>4</v>
      </c>
      <c r="F183" s="60" t="s">
        <v>5</v>
      </c>
      <c r="G183" s="61" t="s">
        <v>6</v>
      </c>
      <c r="H183" s="62" t="s">
        <v>7</v>
      </c>
      <c r="I183" s="75" t="s">
        <v>8</v>
      </c>
      <c r="J183" s="59" t="s">
        <v>9</v>
      </c>
      <c r="K183" s="100" t="s">
        <v>10</v>
      </c>
    </row>
    <row r="184" customHeight="1" spans="1:11">
      <c r="A184" s="63">
        <v>43735</v>
      </c>
      <c r="B184" s="8" t="s">
        <v>11</v>
      </c>
      <c r="C184" s="8" t="s">
        <v>12</v>
      </c>
      <c r="D184" s="64">
        <f t="shared" ref="D184:D189" si="76">H177</f>
        <v>4510.62</v>
      </c>
      <c r="E184" s="6"/>
      <c r="F184" s="6"/>
      <c r="G184" s="65">
        <v>0</v>
      </c>
      <c r="H184" s="66">
        <f t="shared" ref="H184:H187" si="77">D184-G184+E184+F184</f>
        <v>4510.62</v>
      </c>
      <c r="I184" s="77">
        <v>0</v>
      </c>
      <c r="J184" s="64">
        <f t="shared" ref="J184:J189" si="78">G184-I184</f>
        <v>0</v>
      </c>
      <c r="K184" s="80"/>
    </row>
    <row r="185" customHeight="1" spans="1:11">
      <c r="A185" s="63">
        <v>43735</v>
      </c>
      <c r="B185" s="8" t="s">
        <v>65</v>
      </c>
      <c r="C185" s="8" t="s">
        <v>16</v>
      </c>
      <c r="D185" s="64">
        <f t="shared" si="76"/>
        <v>3804.88</v>
      </c>
      <c r="E185" s="6"/>
      <c r="F185" s="6"/>
      <c r="G185" s="65">
        <v>394</v>
      </c>
      <c r="H185" s="66">
        <f t="shared" si="77"/>
        <v>3410.88</v>
      </c>
      <c r="I185" s="77">
        <v>394</v>
      </c>
      <c r="J185" s="64">
        <f t="shared" si="78"/>
        <v>0</v>
      </c>
      <c r="K185" s="78"/>
    </row>
    <row r="186" customHeight="1" spans="1:11">
      <c r="A186" s="63">
        <v>43735</v>
      </c>
      <c r="B186" s="8" t="s">
        <v>31</v>
      </c>
      <c r="C186" s="8" t="s">
        <v>19</v>
      </c>
      <c r="D186" s="64">
        <f t="shared" si="76"/>
        <v>8419.8</v>
      </c>
      <c r="E186" s="6"/>
      <c r="F186" s="6"/>
      <c r="G186" s="65">
        <v>3316</v>
      </c>
      <c r="H186" s="66">
        <f t="shared" si="77"/>
        <v>5103.8</v>
      </c>
      <c r="I186" s="77">
        <f>[83]对账!$B$97</f>
        <v>3321</v>
      </c>
      <c r="J186" s="64">
        <f t="shared" si="78"/>
        <v>-5</v>
      </c>
      <c r="K186" s="79"/>
    </row>
    <row r="187" customHeight="1" spans="1:11">
      <c r="A187" s="63">
        <v>43735</v>
      </c>
      <c r="B187" s="8" t="s">
        <v>18</v>
      </c>
      <c r="C187" s="8" t="s">
        <v>20</v>
      </c>
      <c r="D187" s="64">
        <f t="shared" si="76"/>
        <v>8360.2</v>
      </c>
      <c r="E187" s="6"/>
      <c r="F187" s="6"/>
      <c r="G187" s="65">
        <v>0</v>
      </c>
      <c r="H187" s="66">
        <f t="shared" si="77"/>
        <v>8360.2</v>
      </c>
      <c r="I187" s="77">
        <v>0</v>
      </c>
      <c r="J187" s="64">
        <f t="shared" si="78"/>
        <v>0</v>
      </c>
      <c r="K187" s="80"/>
    </row>
    <row r="188" customHeight="1" spans="1:11">
      <c r="A188" s="63">
        <v>43735</v>
      </c>
      <c r="B188" s="8" t="s">
        <v>18</v>
      </c>
      <c r="C188" s="8" t="s">
        <v>40</v>
      </c>
      <c r="D188" s="64">
        <f t="shared" si="76"/>
        <v>8474.64</v>
      </c>
      <c r="E188" s="6"/>
      <c r="F188" s="6"/>
      <c r="G188" s="65">
        <v>2937</v>
      </c>
      <c r="H188" s="66">
        <f>D188+E188+F188-G188</f>
        <v>5537.64</v>
      </c>
      <c r="I188" s="77">
        <f>[82]账单!$E$29</f>
        <v>2937</v>
      </c>
      <c r="J188" s="64">
        <f t="shared" si="78"/>
        <v>0</v>
      </c>
      <c r="K188" s="80"/>
    </row>
    <row r="189" customHeight="1" spans="1:11">
      <c r="A189" s="67">
        <v>43735</v>
      </c>
      <c r="B189" s="68"/>
      <c r="C189" s="68" t="s">
        <v>41</v>
      </c>
      <c r="D189" s="69">
        <f t="shared" si="76"/>
        <v>6444.61</v>
      </c>
      <c r="E189" s="70"/>
      <c r="F189" s="70"/>
      <c r="G189" s="71">
        <v>0</v>
      </c>
      <c r="H189" s="72">
        <f>D189+E189+F189-G189</f>
        <v>6444.61</v>
      </c>
      <c r="I189" s="81">
        <v>0</v>
      </c>
      <c r="J189" s="69">
        <f t="shared" si="78"/>
        <v>0</v>
      </c>
      <c r="K189" s="82"/>
    </row>
    <row r="190" customHeight="1" spans="1:11">
      <c r="A190" s="99" t="s">
        <v>0</v>
      </c>
      <c r="B190" s="60" t="s">
        <v>1</v>
      </c>
      <c r="C190" s="60" t="s">
        <v>2</v>
      </c>
      <c r="D190" s="59" t="s">
        <v>3</v>
      </c>
      <c r="E190" s="60" t="s">
        <v>4</v>
      </c>
      <c r="F190" s="60" t="s">
        <v>5</v>
      </c>
      <c r="G190" s="61" t="s">
        <v>6</v>
      </c>
      <c r="H190" s="62" t="s">
        <v>7</v>
      </c>
      <c r="I190" s="75" t="s">
        <v>8</v>
      </c>
      <c r="J190" s="59" t="s">
        <v>9</v>
      </c>
      <c r="K190" s="100" t="s">
        <v>10</v>
      </c>
    </row>
    <row r="191" customHeight="1" spans="1:11">
      <c r="A191" s="63">
        <v>43736</v>
      </c>
      <c r="B191" s="8" t="s">
        <v>11</v>
      </c>
      <c r="C191" s="8" t="s">
        <v>12</v>
      </c>
      <c r="D191" s="64">
        <f t="shared" ref="D191:D196" si="79">H184</f>
        <v>4510.62</v>
      </c>
      <c r="E191" s="6"/>
      <c r="F191" s="6"/>
      <c r="G191" s="65">
        <v>0</v>
      </c>
      <c r="H191" s="66">
        <f t="shared" ref="H191:H194" si="80">D191-G191+E191+F191</f>
        <v>4510.62</v>
      </c>
      <c r="I191" s="77">
        <v>0</v>
      </c>
      <c r="J191" s="64">
        <f t="shared" ref="J191:J196" si="81">G191-I191</f>
        <v>0</v>
      </c>
      <c r="K191" s="80"/>
    </row>
    <row r="192" customHeight="1" spans="1:11">
      <c r="A192" s="63">
        <v>43736</v>
      </c>
      <c r="B192" s="8" t="s">
        <v>65</v>
      </c>
      <c r="C192" s="8" t="s">
        <v>16</v>
      </c>
      <c r="D192" s="64">
        <f t="shared" si="79"/>
        <v>3410.88</v>
      </c>
      <c r="E192" s="6"/>
      <c r="F192" s="6"/>
      <c r="G192" s="65">
        <v>0</v>
      </c>
      <c r="H192" s="66">
        <f t="shared" si="80"/>
        <v>3410.88</v>
      </c>
      <c r="I192" s="77">
        <v>0</v>
      </c>
      <c r="J192" s="64">
        <f t="shared" si="81"/>
        <v>0</v>
      </c>
      <c r="K192" s="78"/>
    </row>
    <row r="193" customHeight="1" spans="1:11">
      <c r="A193" s="63">
        <v>43736</v>
      </c>
      <c r="B193" s="8" t="s">
        <v>31</v>
      </c>
      <c r="C193" s="8" t="s">
        <v>19</v>
      </c>
      <c r="D193" s="64">
        <f t="shared" si="79"/>
        <v>5103.8</v>
      </c>
      <c r="E193" s="6"/>
      <c r="F193" s="6"/>
      <c r="G193" s="65">
        <v>3121</v>
      </c>
      <c r="H193" s="66">
        <f t="shared" si="80"/>
        <v>1982.8</v>
      </c>
      <c r="I193" s="77">
        <f>[83]对账!$B$98</f>
        <v>3121</v>
      </c>
      <c r="J193" s="64">
        <f t="shared" si="81"/>
        <v>0</v>
      </c>
      <c r="K193" s="79"/>
    </row>
    <row r="194" customHeight="1" spans="1:11">
      <c r="A194" s="63">
        <v>43736</v>
      </c>
      <c r="B194" s="8" t="s">
        <v>18</v>
      </c>
      <c r="C194" s="8" t="s">
        <v>20</v>
      </c>
      <c r="D194" s="64">
        <f t="shared" si="79"/>
        <v>8360.2</v>
      </c>
      <c r="E194" s="6"/>
      <c r="F194" s="6"/>
      <c r="G194" s="65">
        <v>0</v>
      </c>
      <c r="H194" s="66">
        <f t="shared" si="80"/>
        <v>8360.2</v>
      </c>
      <c r="I194" s="77">
        <v>0</v>
      </c>
      <c r="J194" s="64">
        <f t="shared" si="81"/>
        <v>0</v>
      </c>
      <c r="K194" s="80"/>
    </row>
    <row r="195" customHeight="1" spans="1:11">
      <c r="A195" s="63">
        <v>43736</v>
      </c>
      <c r="B195" s="8" t="s">
        <v>18</v>
      </c>
      <c r="C195" s="8" t="s">
        <v>40</v>
      </c>
      <c r="D195" s="64">
        <f t="shared" si="79"/>
        <v>5537.64</v>
      </c>
      <c r="E195" s="6"/>
      <c r="F195" s="6">
        <v>59</v>
      </c>
      <c r="G195" s="65">
        <v>3105</v>
      </c>
      <c r="H195" s="66">
        <f>D195+E195+F195-G195</f>
        <v>2491.64</v>
      </c>
      <c r="I195" s="77">
        <f>[85]账单!$E$30</f>
        <v>3046</v>
      </c>
      <c r="J195" s="64">
        <f t="shared" si="81"/>
        <v>59</v>
      </c>
      <c r="K195" s="80" t="s">
        <v>48</v>
      </c>
    </row>
    <row r="196" customHeight="1" spans="1:11">
      <c r="A196" s="67">
        <v>43736</v>
      </c>
      <c r="B196" s="68"/>
      <c r="C196" s="68" t="s">
        <v>41</v>
      </c>
      <c r="D196" s="69">
        <f t="shared" si="79"/>
        <v>6444.61</v>
      </c>
      <c r="E196" s="70"/>
      <c r="F196" s="70"/>
      <c r="G196" s="71">
        <v>0</v>
      </c>
      <c r="H196" s="72">
        <f>D196+E196+F196-G196</f>
        <v>6444.61</v>
      </c>
      <c r="I196" s="81">
        <v>0</v>
      </c>
      <c r="J196" s="69">
        <f t="shared" si="81"/>
        <v>0</v>
      </c>
      <c r="K196" s="82"/>
    </row>
    <row r="197" customHeight="1" spans="1:11">
      <c r="A197" s="99" t="s">
        <v>0</v>
      </c>
      <c r="B197" s="60" t="s">
        <v>1</v>
      </c>
      <c r="C197" s="60" t="s">
        <v>2</v>
      </c>
      <c r="D197" s="59" t="s">
        <v>3</v>
      </c>
      <c r="E197" s="60" t="s">
        <v>4</v>
      </c>
      <c r="F197" s="60" t="s">
        <v>5</v>
      </c>
      <c r="G197" s="61" t="s">
        <v>6</v>
      </c>
      <c r="H197" s="62" t="s">
        <v>7</v>
      </c>
      <c r="I197" s="75" t="s">
        <v>8</v>
      </c>
      <c r="J197" s="59" t="s">
        <v>9</v>
      </c>
      <c r="K197" s="100" t="s">
        <v>10</v>
      </c>
    </row>
    <row r="198" customHeight="1" spans="1:11">
      <c r="A198" s="63">
        <v>43737</v>
      </c>
      <c r="B198" s="8" t="s">
        <v>11</v>
      </c>
      <c r="C198" s="8" t="s">
        <v>12</v>
      </c>
      <c r="D198" s="64">
        <f t="shared" ref="D198:D203" si="82">H191</f>
        <v>4510.62</v>
      </c>
      <c r="E198" s="6"/>
      <c r="F198" s="6"/>
      <c r="G198" s="65">
        <v>0</v>
      </c>
      <c r="H198" s="66">
        <f t="shared" ref="H198:H201" si="83">D198-G198+E198+F198</f>
        <v>4510.62</v>
      </c>
      <c r="I198" s="77">
        <v>0</v>
      </c>
      <c r="J198" s="64">
        <f t="shared" ref="J198:J203" si="84">G198-I198</f>
        <v>0</v>
      </c>
      <c r="K198" s="80"/>
    </row>
    <row r="199" customHeight="1" spans="1:11">
      <c r="A199" s="63">
        <v>43737</v>
      </c>
      <c r="B199" s="8" t="s">
        <v>65</v>
      </c>
      <c r="C199" s="8" t="s">
        <v>16</v>
      </c>
      <c r="D199" s="64">
        <f t="shared" si="82"/>
        <v>3410.88</v>
      </c>
      <c r="E199" s="6"/>
      <c r="F199" s="6"/>
      <c r="G199" s="65">
        <v>25</v>
      </c>
      <c r="H199" s="66">
        <f t="shared" si="83"/>
        <v>3385.88</v>
      </c>
      <c r="I199" s="77">
        <v>25</v>
      </c>
      <c r="J199" s="64">
        <f t="shared" si="84"/>
        <v>0</v>
      </c>
      <c r="K199" s="78"/>
    </row>
    <row r="200" customHeight="1" spans="1:11">
      <c r="A200" s="63">
        <v>43737</v>
      </c>
      <c r="B200" s="8" t="s">
        <v>31</v>
      </c>
      <c r="C200" s="8" t="s">
        <v>19</v>
      </c>
      <c r="D200" s="64">
        <f t="shared" si="82"/>
        <v>1982.8</v>
      </c>
      <c r="E200" s="6"/>
      <c r="F200" s="6"/>
      <c r="G200" s="65">
        <v>1943</v>
      </c>
      <c r="H200" s="66">
        <f t="shared" si="83"/>
        <v>39.7999999999993</v>
      </c>
      <c r="I200" s="77">
        <f>[83]对账!$B$99</f>
        <v>1948</v>
      </c>
      <c r="J200" s="64">
        <f t="shared" si="84"/>
        <v>-5</v>
      </c>
      <c r="K200" s="79"/>
    </row>
    <row r="201" customHeight="1" spans="1:11">
      <c r="A201" s="63">
        <v>43737</v>
      </c>
      <c r="B201" s="8" t="s">
        <v>18</v>
      </c>
      <c r="C201" s="8" t="s">
        <v>20</v>
      </c>
      <c r="D201" s="64">
        <f t="shared" si="82"/>
        <v>8360.2</v>
      </c>
      <c r="E201" s="6"/>
      <c r="F201" s="6"/>
      <c r="G201" s="65">
        <v>0</v>
      </c>
      <c r="H201" s="66">
        <f t="shared" si="83"/>
        <v>8360.2</v>
      </c>
      <c r="I201" s="77">
        <v>0</v>
      </c>
      <c r="J201" s="64">
        <f t="shared" si="84"/>
        <v>0</v>
      </c>
      <c r="K201" s="80"/>
    </row>
    <row r="202" customHeight="1" spans="1:11">
      <c r="A202" s="63">
        <v>43737</v>
      </c>
      <c r="B202" s="8" t="s">
        <v>18</v>
      </c>
      <c r="C202" s="8" t="s">
        <v>40</v>
      </c>
      <c r="D202" s="64">
        <f t="shared" si="82"/>
        <v>2491.64</v>
      </c>
      <c r="E202" s="6">
        <v>10000</v>
      </c>
      <c r="F202" s="6"/>
      <c r="G202" s="65">
        <v>4333</v>
      </c>
      <c r="H202" s="66">
        <f>D202+E202+F202-G202</f>
        <v>8158.64</v>
      </c>
      <c r="I202" s="77">
        <f>[85]账单!$E$31</f>
        <v>4333</v>
      </c>
      <c r="J202" s="64">
        <f t="shared" si="84"/>
        <v>0</v>
      </c>
      <c r="K202" s="80"/>
    </row>
    <row r="203" customHeight="1" spans="1:11">
      <c r="A203" s="67">
        <v>43737</v>
      </c>
      <c r="B203" s="68"/>
      <c r="C203" s="68" t="s">
        <v>41</v>
      </c>
      <c r="D203" s="69">
        <f t="shared" si="82"/>
        <v>6444.61</v>
      </c>
      <c r="E203" s="70"/>
      <c r="F203" s="70"/>
      <c r="G203" s="71">
        <v>0</v>
      </c>
      <c r="H203" s="72">
        <f>D203+E203+F203-G203</f>
        <v>6444.61</v>
      </c>
      <c r="I203" s="81">
        <v>0</v>
      </c>
      <c r="J203" s="69">
        <f t="shared" si="84"/>
        <v>0</v>
      </c>
      <c r="K203" s="82"/>
    </row>
    <row r="204" customHeight="1" spans="1:11">
      <c r="A204" s="99" t="s">
        <v>0</v>
      </c>
      <c r="B204" s="60" t="s">
        <v>1</v>
      </c>
      <c r="C204" s="60" t="s">
        <v>2</v>
      </c>
      <c r="D204" s="59" t="s">
        <v>3</v>
      </c>
      <c r="E204" s="60" t="s">
        <v>4</v>
      </c>
      <c r="F204" s="60" t="s">
        <v>5</v>
      </c>
      <c r="G204" s="61" t="s">
        <v>6</v>
      </c>
      <c r="H204" s="62" t="s">
        <v>7</v>
      </c>
      <c r="I204" s="75" t="s">
        <v>8</v>
      </c>
      <c r="J204" s="59" t="s">
        <v>9</v>
      </c>
      <c r="K204" s="100" t="s">
        <v>10</v>
      </c>
    </row>
    <row r="205" customHeight="1" spans="1:11">
      <c r="A205" s="63">
        <v>43738</v>
      </c>
      <c r="B205" s="8" t="s">
        <v>11</v>
      </c>
      <c r="C205" s="8" t="s">
        <v>12</v>
      </c>
      <c r="D205" s="64">
        <f t="shared" ref="D205:D210" si="85">H198</f>
        <v>4510.62</v>
      </c>
      <c r="E205" s="6"/>
      <c r="F205" s="6"/>
      <c r="G205" s="65">
        <v>0</v>
      </c>
      <c r="H205" s="66">
        <f t="shared" ref="H205:H208" si="86">D205-G205+E205+F205</f>
        <v>4510.62</v>
      </c>
      <c r="I205" s="77">
        <v>0</v>
      </c>
      <c r="J205" s="64">
        <f t="shared" ref="J205:J210" si="87">G205-I205</f>
        <v>0</v>
      </c>
      <c r="K205" s="80"/>
    </row>
    <row r="206" customHeight="1" spans="1:11">
      <c r="A206" s="63">
        <v>43738</v>
      </c>
      <c r="B206" s="8" t="s">
        <v>65</v>
      </c>
      <c r="C206" s="8" t="s">
        <v>16</v>
      </c>
      <c r="D206" s="64">
        <f t="shared" si="85"/>
        <v>3385.88</v>
      </c>
      <c r="E206" s="6"/>
      <c r="F206" s="6"/>
      <c r="G206" s="65">
        <v>197</v>
      </c>
      <c r="H206" s="66">
        <f t="shared" si="86"/>
        <v>3188.88</v>
      </c>
      <c r="I206" s="77">
        <v>15</v>
      </c>
      <c r="J206" s="64">
        <f t="shared" si="87"/>
        <v>182</v>
      </c>
      <c r="K206" s="78"/>
    </row>
    <row r="207" customHeight="1" spans="1:11">
      <c r="A207" s="63">
        <v>43738</v>
      </c>
      <c r="B207" s="8" t="s">
        <v>31</v>
      </c>
      <c r="C207" s="8" t="s">
        <v>19</v>
      </c>
      <c r="D207" s="64">
        <f t="shared" si="85"/>
        <v>39.7999999999993</v>
      </c>
      <c r="E207" s="6">
        <v>10000</v>
      </c>
      <c r="F207" s="6"/>
      <c r="G207" s="65">
        <v>5523</v>
      </c>
      <c r="H207" s="66">
        <f t="shared" si="86"/>
        <v>4516.8</v>
      </c>
      <c r="I207" s="77">
        <f>[84]对账!$B$100</f>
        <v>5518</v>
      </c>
      <c r="J207" s="64">
        <f t="shared" si="87"/>
        <v>5</v>
      </c>
      <c r="K207" s="79"/>
    </row>
    <row r="208" customHeight="1" spans="1:11">
      <c r="A208" s="63">
        <v>43738</v>
      </c>
      <c r="B208" s="8" t="s">
        <v>18</v>
      </c>
      <c r="C208" s="8" t="s">
        <v>20</v>
      </c>
      <c r="D208" s="64">
        <f t="shared" si="85"/>
        <v>8360.2</v>
      </c>
      <c r="E208" s="6"/>
      <c r="F208" s="6"/>
      <c r="G208" s="65">
        <v>0</v>
      </c>
      <c r="H208" s="66">
        <f t="shared" si="86"/>
        <v>8360.2</v>
      </c>
      <c r="I208" s="77">
        <v>0</v>
      </c>
      <c r="J208" s="64">
        <f t="shared" si="87"/>
        <v>0</v>
      </c>
      <c r="K208" s="80"/>
    </row>
    <row r="209" customHeight="1" spans="1:11">
      <c r="A209" s="63">
        <v>43738</v>
      </c>
      <c r="B209" s="8" t="s">
        <v>18</v>
      </c>
      <c r="C209" s="8" t="s">
        <v>40</v>
      </c>
      <c r="D209" s="64">
        <f t="shared" si="85"/>
        <v>8158.64</v>
      </c>
      <c r="E209" s="6"/>
      <c r="F209" s="6"/>
      <c r="G209" s="65">
        <v>0</v>
      </c>
      <c r="H209" s="66">
        <f>D209+E209+F209-G209</f>
        <v>8158.64</v>
      </c>
      <c r="I209" s="77">
        <v>0</v>
      </c>
      <c r="J209" s="64">
        <f t="shared" si="87"/>
        <v>0</v>
      </c>
      <c r="K209" s="80"/>
    </row>
    <row r="210" customHeight="1" spans="1:11">
      <c r="A210" s="67">
        <v>43738</v>
      </c>
      <c r="B210" s="68"/>
      <c r="C210" s="68" t="s">
        <v>41</v>
      </c>
      <c r="D210" s="69">
        <f t="shared" si="85"/>
        <v>6444.61</v>
      </c>
      <c r="E210" s="70"/>
      <c r="F210" s="70"/>
      <c r="G210" s="71">
        <v>0</v>
      </c>
      <c r="H210" s="72">
        <f>D210+E210+F210-G210</f>
        <v>6444.61</v>
      </c>
      <c r="I210" s="81">
        <v>0</v>
      </c>
      <c r="J210" s="69">
        <f t="shared" si="87"/>
        <v>0</v>
      </c>
      <c r="K210" s="82"/>
    </row>
  </sheetData>
  <autoFilter ref="A1:K210">
    <extLst/>
  </autoFilter>
  <pageMargins left="0.75" right="0.75" top="1" bottom="1" header="0.5" footer="0.5"/>
  <pageSetup paperSize="1"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7"/>
  <sheetViews>
    <sheetView workbookViewId="0">
      <selection activeCell="E3" sqref="E3"/>
    </sheetView>
  </sheetViews>
  <sheetFormatPr defaultColWidth="9" defaultRowHeight="20" customHeight="1"/>
  <cols>
    <col min="1" max="1" width="9.125"/>
    <col min="4" max="4" width="13.25" customWidth="1"/>
    <col min="7" max="7" width="12.25" customWidth="1"/>
    <col min="8" max="8" width="11.875" customWidth="1"/>
    <col min="9" max="9" width="11" customWidth="1"/>
    <col min="10" max="10" width="9.75" customWidth="1"/>
    <col min="11" max="11" width="34" customWidth="1"/>
    <col min="13" max="13" width="12.625"/>
  </cols>
  <sheetData>
    <row r="1" customHeight="1" spans="1:11">
      <c r="A1" s="52" t="s">
        <v>0</v>
      </c>
      <c r="B1" s="53" t="s">
        <v>1</v>
      </c>
      <c r="C1" s="53" t="s">
        <v>2</v>
      </c>
      <c r="D1" s="54" t="s">
        <v>3</v>
      </c>
      <c r="E1" s="53" t="s">
        <v>4</v>
      </c>
      <c r="F1" s="53" t="s">
        <v>5</v>
      </c>
      <c r="G1" s="55" t="s">
        <v>6</v>
      </c>
      <c r="H1" s="56" t="s">
        <v>7</v>
      </c>
      <c r="I1" s="73" t="s">
        <v>8</v>
      </c>
      <c r="J1" s="54" t="s">
        <v>9</v>
      </c>
      <c r="K1" s="74" t="s">
        <v>10</v>
      </c>
    </row>
    <row r="2" customHeight="1" spans="1:11">
      <c r="A2" s="57">
        <v>43739</v>
      </c>
      <c r="B2" s="58" t="s">
        <v>11</v>
      </c>
      <c r="C2" s="58" t="s">
        <v>12</v>
      </c>
      <c r="D2" s="59">
        <f>'9月'!H205</f>
        <v>4510.62</v>
      </c>
      <c r="E2" s="60"/>
      <c r="F2" s="60">
        <v>50</v>
      </c>
      <c r="G2" s="61">
        <v>1980.2</v>
      </c>
      <c r="H2" s="62">
        <f>D2-G2+E2+F2</f>
        <v>2580.42</v>
      </c>
      <c r="I2" s="75">
        <f>[86]对账!$B$126</f>
        <v>59</v>
      </c>
      <c r="J2" s="59">
        <f t="shared" ref="J2:J7" si="0">G2-I2</f>
        <v>1921.2</v>
      </c>
      <c r="K2" s="76" t="s">
        <v>79</v>
      </c>
    </row>
    <row r="3" customHeight="1" spans="1:11">
      <c r="A3" s="63">
        <v>43739</v>
      </c>
      <c r="B3" s="8" t="s">
        <v>65</v>
      </c>
      <c r="C3" s="8" t="s">
        <v>16</v>
      </c>
      <c r="D3" s="64">
        <f>'9月'!H206</f>
        <v>3188.88</v>
      </c>
      <c r="E3" s="6"/>
      <c r="F3" s="6"/>
      <c r="G3" s="65">
        <v>0</v>
      </c>
      <c r="H3" s="66">
        <f>D3-G3+E3+F3</f>
        <v>3188.88</v>
      </c>
      <c r="I3" s="77">
        <f>[89]好评返现对账!$B$107</f>
        <v>0</v>
      </c>
      <c r="J3" s="64">
        <f t="shared" si="0"/>
        <v>0</v>
      </c>
      <c r="K3" s="78"/>
    </row>
    <row r="4" customHeight="1" spans="1:11">
      <c r="A4" s="63">
        <v>43739</v>
      </c>
      <c r="B4" s="8" t="s">
        <v>31</v>
      </c>
      <c r="C4" s="8" t="s">
        <v>19</v>
      </c>
      <c r="D4" s="64">
        <f>'9月'!H207</f>
        <v>4516.8</v>
      </c>
      <c r="E4" s="6"/>
      <c r="F4" s="6"/>
      <c r="G4" s="65">
        <v>2570</v>
      </c>
      <c r="H4" s="66">
        <f t="shared" ref="H4:H12" si="1">D4-G4+E4+F4</f>
        <v>1946.8</v>
      </c>
      <c r="I4" s="77">
        <f>[87]对账!$B$104</f>
        <v>2624</v>
      </c>
      <c r="J4" s="64">
        <f t="shared" si="0"/>
        <v>-54</v>
      </c>
      <c r="K4" s="79" t="s">
        <v>17</v>
      </c>
    </row>
    <row r="5" customHeight="1" spans="1:11">
      <c r="A5" s="63">
        <v>43739</v>
      </c>
      <c r="B5" s="8" t="s">
        <v>18</v>
      </c>
      <c r="C5" s="8" t="s">
        <v>20</v>
      </c>
      <c r="D5" s="64">
        <f>'9月'!H208</f>
        <v>8360.2</v>
      </c>
      <c r="E5" s="6"/>
      <c r="F5" s="6"/>
      <c r="G5" s="65">
        <v>0</v>
      </c>
      <c r="H5" s="66">
        <f t="shared" si="1"/>
        <v>8360.2</v>
      </c>
      <c r="I5" s="77">
        <v>0</v>
      </c>
      <c r="J5" s="64">
        <f t="shared" si="0"/>
        <v>0</v>
      </c>
      <c r="K5" s="80"/>
    </row>
    <row r="6" customHeight="1" spans="1:11">
      <c r="A6" s="63">
        <v>43739</v>
      </c>
      <c r="B6" s="8" t="s">
        <v>18</v>
      </c>
      <c r="C6" s="8" t="s">
        <v>40</v>
      </c>
      <c r="D6" s="64">
        <f>'9月'!H209</f>
        <v>8158.64</v>
      </c>
      <c r="E6" s="6"/>
      <c r="F6" s="6"/>
      <c r="G6" s="65">
        <v>3101</v>
      </c>
      <c r="H6" s="66">
        <f>D6+E6+F6-G6</f>
        <v>5057.64</v>
      </c>
      <c r="I6" s="77">
        <f>[88]账单!$E$3</f>
        <v>3101</v>
      </c>
      <c r="J6" s="64">
        <f t="shared" si="0"/>
        <v>0</v>
      </c>
      <c r="K6" s="80"/>
    </row>
    <row r="7" customHeight="1" spans="1:11">
      <c r="A7" s="67">
        <v>43739</v>
      </c>
      <c r="B7" s="68"/>
      <c r="C7" s="68" t="s">
        <v>41</v>
      </c>
      <c r="D7" s="69">
        <f>'9月'!H210</f>
        <v>6444.61</v>
      </c>
      <c r="E7" s="70"/>
      <c r="F7" s="70"/>
      <c r="G7" s="71">
        <v>0</v>
      </c>
      <c r="H7" s="72">
        <f>D7+E7+F7-G7</f>
        <v>6444.61</v>
      </c>
      <c r="I7" s="81">
        <v>0</v>
      </c>
      <c r="J7" s="69">
        <f t="shared" si="0"/>
        <v>0</v>
      </c>
      <c r="K7" s="82"/>
    </row>
    <row r="8" customHeight="1" spans="1:11">
      <c r="A8" s="52" t="s">
        <v>0</v>
      </c>
      <c r="B8" s="53" t="s">
        <v>1</v>
      </c>
      <c r="C8" s="53" t="s">
        <v>2</v>
      </c>
      <c r="D8" s="54" t="s">
        <v>3</v>
      </c>
      <c r="E8" s="53" t="s">
        <v>4</v>
      </c>
      <c r="F8" s="53" t="s">
        <v>5</v>
      </c>
      <c r="G8" s="55" t="s">
        <v>6</v>
      </c>
      <c r="H8" s="56" t="s">
        <v>7</v>
      </c>
      <c r="I8" s="73" t="s">
        <v>8</v>
      </c>
      <c r="J8" s="54" t="s">
        <v>9</v>
      </c>
      <c r="K8" s="74" t="s">
        <v>10</v>
      </c>
    </row>
    <row r="9" customHeight="1" spans="1:11">
      <c r="A9" s="57">
        <v>43740</v>
      </c>
      <c r="B9" s="58" t="s">
        <v>11</v>
      </c>
      <c r="C9" s="58" t="s">
        <v>12</v>
      </c>
      <c r="D9" s="59">
        <f>H2</f>
        <v>2580.42</v>
      </c>
      <c r="E9" s="60"/>
      <c r="F9" s="60"/>
      <c r="G9" s="61">
        <v>0</v>
      </c>
      <c r="H9" s="62">
        <f t="shared" si="1"/>
        <v>2580.42</v>
      </c>
      <c r="I9" s="75">
        <f>[86]对账!$B$127</f>
        <v>5</v>
      </c>
      <c r="J9" s="59">
        <f t="shared" ref="J9:J14" si="2">G9-I9</f>
        <v>-5</v>
      </c>
      <c r="K9" s="83"/>
    </row>
    <row r="10" customHeight="1" spans="1:11">
      <c r="A10" s="63">
        <v>43740</v>
      </c>
      <c r="B10" s="8" t="s">
        <v>65</v>
      </c>
      <c r="C10" s="8" t="s">
        <v>16</v>
      </c>
      <c r="D10" s="64">
        <f>H3</f>
        <v>3188.88</v>
      </c>
      <c r="E10" s="6"/>
      <c r="F10" s="6"/>
      <c r="G10" s="65">
        <v>354</v>
      </c>
      <c r="H10" s="66">
        <f t="shared" si="1"/>
        <v>2834.88</v>
      </c>
      <c r="I10" s="77">
        <f>[89]好评返现对账!$B$108</f>
        <v>354</v>
      </c>
      <c r="J10" s="64">
        <f t="shared" si="2"/>
        <v>0</v>
      </c>
      <c r="K10" s="78"/>
    </row>
    <row r="11" customHeight="1" spans="1:11">
      <c r="A11" s="63">
        <v>43740</v>
      </c>
      <c r="B11" s="8" t="s">
        <v>31</v>
      </c>
      <c r="C11" s="8" t="s">
        <v>19</v>
      </c>
      <c r="D11" s="64">
        <f t="shared" ref="D11:D21" si="3">H4</f>
        <v>1946.8</v>
      </c>
      <c r="E11" s="6">
        <v>10000</v>
      </c>
      <c r="F11" s="6"/>
      <c r="G11" s="65">
        <v>3274</v>
      </c>
      <c r="H11" s="66">
        <f t="shared" si="1"/>
        <v>8672.8</v>
      </c>
      <c r="I11" s="77">
        <f>[87]对账!$B$105</f>
        <v>3269</v>
      </c>
      <c r="J11" s="64">
        <f t="shared" si="2"/>
        <v>5</v>
      </c>
      <c r="K11" s="79"/>
    </row>
    <row r="12" customHeight="1" spans="1:11">
      <c r="A12" s="63">
        <v>43740</v>
      </c>
      <c r="B12" s="8" t="s">
        <v>18</v>
      </c>
      <c r="C12" s="8" t="s">
        <v>20</v>
      </c>
      <c r="D12" s="64">
        <f t="shared" si="3"/>
        <v>8360.2</v>
      </c>
      <c r="E12" s="6"/>
      <c r="F12" s="6"/>
      <c r="G12" s="65">
        <v>0</v>
      </c>
      <c r="H12" s="66">
        <f t="shared" si="1"/>
        <v>8360.2</v>
      </c>
      <c r="I12" s="77">
        <v>0</v>
      </c>
      <c r="J12" s="64">
        <f t="shared" si="2"/>
        <v>0</v>
      </c>
      <c r="K12" s="80"/>
    </row>
    <row r="13" customHeight="1" spans="1:11">
      <c r="A13" s="63">
        <v>43740</v>
      </c>
      <c r="B13" s="8" t="s">
        <v>18</v>
      </c>
      <c r="C13" s="8" t="s">
        <v>40</v>
      </c>
      <c r="D13" s="64">
        <f t="shared" si="3"/>
        <v>5057.64</v>
      </c>
      <c r="E13" s="6"/>
      <c r="F13" s="6"/>
      <c r="G13" s="65">
        <v>2133</v>
      </c>
      <c r="H13" s="66">
        <f>D13+E13+F13-G13</f>
        <v>2924.64</v>
      </c>
      <c r="I13" s="77">
        <f>[88]账单!$E$4</f>
        <v>2133</v>
      </c>
      <c r="J13" s="64">
        <f t="shared" si="2"/>
        <v>0</v>
      </c>
      <c r="K13" s="80"/>
    </row>
    <row r="14" customHeight="1" spans="1:11">
      <c r="A14" s="67">
        <v>43740</v>
      </c>
      <c r="B14" s="68"/>
      <c r="C14" s="68" t="s">
        <v>41</v>
      </c>
      <c r="D14" s="69">
        <f t="shared" si="3"/>
        <v>6444.61</v>
      </c>
      <c r="E14" s="70"/>
      <c r="F14" s="70"/>
      <c r="G14" s="71">
        <v>0</v>
      </c>
      <c r="H14" s="72">
        <f>D14+E14+F14-G14</f>
        <v>6444.61</v>
      </c>
      <c r="I14" s="81">
        <v>0</v>
      </c>
      <c r="J14" s="69">
        <f t="shared" si="2"/>
        <v>0</v>
      </c>
      <c r="K14" s="82"/>
    </row>
    <row r="15" customHeight="1" spans="1:11">
      <c r="A15" s="52" t="s">
        <v>0</v>
      </c>
      <c r="B15" s="53" t="s">
        <v>1</v>
      </c>
      <c r="C15" s="53" t="s">
        <v>2</v>
      </c>
      <c r="D15" s="54" t="s">
        <v>3</v>
      </c>
      <c r="E15" s="53" t="s">
        <v>4</v>
      </c>
      <c r="F15" s="53" t="s">
        <v>5</v>
      </c>
      <c r="G15" s="55" t="s">
        <v>6</v>
      </c>
      <c r="H15" s="56" t="s">
        <v>7</v>
      </c>
      <c r="I15" s="73" t="s">
        <v>8</v>
      </c>
      <c r="J15" s="54" t="s">
        <v>9</v>
      </c>
      <c r="K15" s="74" t="s">
        <v>10</v>
      </c>
    </row>
    <row r="16" customHeight="1" spans="1:11">
      <c r="A16" s="57">
        <v>43741</v>
      </c>
      <c r="B16" s="58" t="s">
        <v>11</v>
      </c>
      <c r="C16" s="58" t="s">
        <v>12</v>
      </c>
      <c r="D16" s="59">
        <f t="shared" si="3"/>
        <v>2580.42</v>
      </c>
      <c r="E16" s="60"/>
      <c r="F16" s="60"/>
      <c r="G16" s="61">
        <v>335</v>
      </c>
      <c r="H16" s="62">
        <f t="shared" ref="H16:H19" si="4">D16-G16+E16+F16</f>
        <v>2245.42</v>
      </c>
      <c r="I16" s="75">
        <f>[86]对账!$B$128</f>
        <v>344</v>
      </c>
      <c r="J16" s="59">
        <f t="shared" ref="J16:J21" si="5">G16-I16</f>
        <v>-9</v>
      </c>
      <c r="K16" s="83"/>
    </row>
    <row r="17" customHeight="1" spans="1:11">
      <c r="A17" s="63">
        <v>43741</v>
      </c>
      <c r="B17" s="8" t="s">
        <v>65</v>
      </c>
      <c r="C17" s="8" t="s">
        <v>16</v>
      </c>
      <c r="D17" s="64">
        <f t="shared" si="3"/>
        <v>2834.88</v>
      </c>
      <c r="E17" s="6"/>
      <c r="F17" s="6"/>
      <c r="G17" s="65">
        <v>1082</v>
      </c>
      <c r="H17" s="66">
        <f t="shared" si="4"/>
        <v>1752.88</v>
      </c>
      <c r="I17" s="77">
        <f>[89]好评返现对账!$B$109</f>
        <v>1082</v>
      </c>
      <c r="J17" s="64">
        <f t="shared" si="5"/>
        <v>0</v>
      </c>
      <c r="K17" s="78"/>
    </row>
    <row r="18" customHeight="1" spans="1:11">
      <c r="A18" s="63">
        <v>43741</v>
      </c>
      <c r="B18" s="8" t="s">
        <v>31</v>
      </c>
      <c r="C18" s="8" t="s">
        <v>19</v>
      </c>
      <c r="D18" s="64">
        <f t="shared" si="3"/>
        <v>8672.8</v>
      </c>
      <c r="E18" s="6"/>
      <c r="F18" s="6"/>
      <c r="G18" s="65">
        <v>317</v>
      </c>
      <c r="H18" s="66">
        <f t="shared" si="4"/>
        <v>8355.8</v>
      </c>
      <c r="I18" s="77">
        <f>[87]对账!$B$106</f>
        <v>312</v>
      </c>
      <c r="J18" s="64">
        <f t="shared" si="5"/>
        <v>5</v>
      </c>
      <c r="K18" s="79"/>
    </row>
    <row r="19" customHeight="1" spans="1:11">
      <c r="A19" s="63">
        <v>43741</v>
      </c>
      <c r="B19" s="8" t="s">
        <v>18</v>
      </c>
      <c r="C19" s="8" t="s">
        <v>20</v>
      </c>
      <c r="D19" s="64">
        <f t="shared" si="3"/>
        <v>8360.2</v>
      </c>
      <c r="E19" s="6"/>
      <c r="F19" s="6"/>
      <c r="G19" s="65">
        <v>0</v>
      </c>
      <c r="H19" s="66">
        <f t="shared" si="4"/>
        <v>8360.2</v>
      </c>
      <c r="I19" s="77">
        <v>0</v>
      </c>
      <c r="J19" s="64">
        <f t="shared" si="5"/>
        <v>0</v>
      </c>
      <c r="K19" s="80"/>
    </row>
    <row r="20" customHeight="1" spans="1:11">
      <c r="A20" s="63">
        <v>43741</v>
      </c>
      <c r="B20" s="8" t="s">
        <v>18</v>
      </c>
      <c r="C20" s="8" t="s">
        <v>40</v>
      </c>
      <c r="D20" s="64">
        <f t="shared" si="3"/>
        <v>2924.64</v>
      </c>
      <c r="E20" s="6">
        <v>10000</v>
      </c>
      <c r="F20" s="6"/>
      <c r="G20" s="65">
        <v>3941</v>
      </c>
      <c r="H20" s="66">
        <f>D20+E20+F20-G20</f>
        <v>8983.64</v>
      </c>
      <c r="I20" s="77">
        <f>[88]账单!$E$5</f>
        <v>3941</v>
      </c>
      <c r="J20" s="64">
        <f t="shared" si="5"/>
        <v>0</v>
      </c>
      <c r="K20" s="80"/>
    </row>
    <row r="21" customHeight="1" spans="1:11">
      <c r="A21" s="67">
        <v>43741</v>
      </c>
      <c r="B21" s="68"/>
      <c r="C21" s="68" t="s">
        <v>41</v>
      </c>
      <c r="D21" s="69">
        <f t="shared" si="3"/>
        <v>6444.61</v>
      </c>
      <c r="E21" s="70"/>
      <c r="F21" s="70"/>
      <c r="G21" s="71">
        <v>0</v>
      </c>
      <c r="H21" s="72">
        <f>D21+E21+F21-G21</f>
        <v>6444.61</v>
      </c>
      <c r="I21" s="81">
        <v>0</v>
      </c>
      <c r="J21" s="69">
        <f t="shared" si="5"/>
        <v>0</v>
      </c>
      <c r="K21" s="82"/>
    </row>
    <row r="22" customHeight="1" spans="1:11">
      <c r="A22" s="52" t="s">
        <v>0</v>
      </c>
      <c r="B22" s="53" t="s">
        <v>1</v>
      </c>
      <c r="C22" s="53" t="s">
        <v>2</v>
      </c>
      <c r="D22" s="54" t="s">
        <v>3</v>
      </c>
      <c r="E22" s="53" t="s">
        <v>4</v>
      </c>
      <c r="F22" s="53" t="s">
        <v>5</v>
      </c>
      <c r="G22" s="55" t="s">
        <v>6</v>
      </c>
      <c r="H22" s="56" t="s">
        <v>7</v>
      </c>
      <c r="I22" s="73" t="s">
        <v>8</v>
      </c>
      <c r="J22" s="54" t="s">
        <v>9</v>
      </c>
      <c r="K22" s="74" t="s">
        <v>10</v>
      </c>
    </row>
    <row r="23" customHeight="1" spans="1:11">
      <c r="A23" s="57">
        <v>43742</v>
      </c>
      <c r="B23" s="58" t="s">
        <v>11</v>
      </c>
      <c r="C23" s="58" t="s">
        <v>12</v>
      </c>
      <c r="D23" s="59">
        <f t="shared" ref="D23:D28" si="6">H16</f>
        <v>2245.42</v>
      </c>
      <c r="E23" s="60"/>
      <c r="F23" s="60"/>
      <c r="G23" s="61">
        <v>59</v>
      </c>
      <c r="H23" s="62">
        <f t="shared" ref="H23:H26" si="7">D23-G23+E23+F23</f>
        <v>2186.42</v>
      </c>
      <c r="I23" s="75">
        <f>[86]对账!$B$129</f>
        <v>59</v>
      </c>
      <c r="J23" s="59">
        <f t="shared" ref="J23:J28" si="8">G23-I23</f>
        <v>0</v>
      </c>
      <c r="K23" s="83"/>
    </row>
    <row r="24" customHeight="1" spans="1:11">
      <c r="A24" s="63">
        <v>43742</v>
      </c>
      <c r="B24" s="8" t="s">
        <v>65</v>
      </c>
      <c r="C24" s="8" t="s">
        <v>16</v>
      </c>
      <c r="D24" s="64">
        <f t="shared" si="6"/>
        <v>1752.88</v>
      </c>
      <c r="E24" s="6"/>
      <c r="F24" s="6"/>
      <c r="G24" s="65">
        <v>251</v>
      </c>
      <c r="H24" s="66">
        <f t="shared" si="7"/>
        <v>1501.88</v>
      </c>
      <c r="I24" s="77">
        <f>[91]好评返现对账!$B$110</f>
        <v>251</v>
      </c>
      <c r="J24" s="64">
        <f t="shared" si="8"/>
        <v>0</v>
      </c>
      <c r="K24" s="78"/>
    </row>
    <row r="25" customHeight="1" spans="1:11">
      <c r="A25" s="63">
        <v>43742</v>
      </c>
      <c r="B25" s="8" t="s">
        <v>31</v>
      </c>
      <c r="C25" s="8" t="s">
        <v>19</v>
      </c>
      <c r="D25" s="64">
        <f t="shared" si="6"/>
        <v>8355.8</v>
      </c>
      <c r="E25" s="6"/>
      <c r="F25" s="6"/>
      <c r="G25" s="65">
        <v>3075</v>
      </c>
      <c r="H25" s="66">
        <f t="shared" si="7"/>
        <v>5280.8</v>
      </c>
      <c r="I25" s="77">
        <f>[87]对账!$B$107</f>
        <v>3021</v>
      </c>
      <c r="J25" s="64">
        <f t="shared" si="8"/>
        <v>54</v>
      </c>
      <c r="K25" s="79" t="s">
        <v>17</v>
      </c>
    </row>
    <row r="26" customHeight="1" spans="1:11">
      <c r="A26" s="63">
        <v>43742</v>
      </c>
      <c r="B26" s="8" t="s">
        <v>18</v>
      </c>
      <c r="C26" s="8" t="s">
        <v>20</v>
      </c>
      <c r="D26" s="64">
        <f t="shared" si="6"/>
        <v>8360.2</v>
      </c>
      <c r="E26" s="6"/>
      <c r="F26" s="6"/>
      <c r="G26" s="65">
        <v>0</v>
      </c>
      <c r="H26" s="66">
        <f t="shared" si="7"/>
        <v>8360.2</v>
      </c>
      <c r="I26" s="77">
        <v>0</v>
      </c>
      <c r="J26" s="64">
        <f t="shared" si="8"/>
        <v>0</v>
      </c>
      <c r="K26" s="80"/>
    </row>
    <row r="27" customHeight="1" spans="1:11">
      <c r="A27" s="63">
        <v>43742</v>
      </c>
      <c r="B27" s="8" t="s">
        <v>18</v>
      </c>
      <c r="C27" s="8" t="s">
        <v>40</v>
      </c>
      <c r="D27" s="64">
        <f t="shared" si="6"/>
        <v>8983.64</v>
      </c>
      <c r="E27" s="6"/>
      <c r="F27" s="6"/>
      <c r="G27" s="65">
        <v>3011</v>
      </c>
      <c r="H27" s="66">
        <f>D27+E27+F27-G27</f>
        <v>5972.64</v>
      </c>
      <c r="I27" s="77">
        <f>[88]账单!$E$6</f>
        <v>3011</v>
      </c>
      <c r="J27" s="64">
        <f t="shared" si="8"/>
        <v>0</v>
      </c>
      <c r="K27" s="80"/>
    </row>
    <row r="28" customHeight="1" spans="1:11">
      <c r="A28" s="67">
        <v>43742</v>
      </c>
      <c r="B28" s="68"/>
      <c r="C28" s="68" t="s">
        <v>41</v>
      </c>
      <c r="D28" s="69">
        <f t="shared" si="6"/>
        <v>6444.61</v>
      </c>
      <c r="E28" s="70"/>
      <c r="F28" s="70"/>
      <c r="G28" s="71">
        <v>0</v>
      </c>
      <c r="H28" s="72">
        <f>D28+E28+F28-G28</f>
        <v>6444.61</v>
      </c>
      <c r="I28" s="81">
        <v>0</v>
      </c>
      <c r="J28" s="69">
        <f t="shared" si="8"/>
        <v>0</v>
      </c>
      <c r="K28" s="82"/>
    </row>
    <row r="29" customHeight="1" spans="1:11">
      <c r="A29" s="52" t="s">
        <v>0</v>
      </c>
      <c r="B29" s="53" t="s">
        <v>1</v>
      </c>
      <c r="C29" s="53" t="s">
        <v>2</v>
      </c>
      <c r="D29" s="54" t="s">
        <v>3</v>
      </c>
      <c r="E29" s="53" t="s">
        <v>4</v>
      </c>
      <c r="F29" s="53" t="s">
        <v>5</v>
      </c>
      <c r="G29" s="55" t="s">
        <v>6</v>
      </c>
      <c r="H29" s="56" t="s">
        <v>7</v>
      </c>
      <c r="I29" s="73" t="s">
        <v>8</v>
      </c>
      <c r="J29" s="54" t="s">
        <v>9</v>
      </c>
      <c r="K29" s="74" t="s">
        <v>10</v>
      </c>
    </row>
    <row r="30" customHeight="1" spans="1:11">
      <c r="A30" s="57">
        <v>43743</v>
      </c>
      <c r="B30" s="58" t="s">
        <v>11</v>
      </c>
      <c r="C30" s="58" t="s">
        <v>12</v>
      </c>
      <c r="D30" s="59">
        <f t="shared" ref="D30:D35" si="9">H23</f>
        <v>2186.42</v>
      </c>
      <c r="E30" s="60"/>
      <c r="F30" s="60"/>
      <c r="G30" s="61">
        <v>798</v>
      </c>
      <c r="H30" s="62">
        <f t="shared" ref="H30:H33" si="10">D30-G30+E30+F30</f>
        <v>1388.42</v>
      </c>
      <c r="I30" s="75">
        <f>[90]对账!$B$130</f>
        <v>748</v>
      </c>
      <c r="J30" s="59">
        <f t="shared" ref="J30:J35" si="11">G30-I30</f>
        <v>50</v>
      </c>
      <c r="K30" s="83" t="s">
        <v>80</v>
      </c>
    </row>
    <row r="31" customHeight="1" spans="1:11">
      <c r="A31" s="63">
        <v>43743</v>
      </c>
      <c r="B31" s="8" t="s">
        <v>65</v>
      </c>
      <c r="C31" s="8" t="s">
        <v>16</v>
      </c>
      <c r="D31" s="64">
        <f t="shared" si="9"/>
        <v>1501.88</v>
      </c>
      <c r="E31" s="6"/>
      <c r="F31" s="6"/>
      <c r="G31" s="65">
        <v>15</v>
      </c>
      <c r="H31" s="66">
        <f t="shared" si="10"/>
        <v>1486.88</v>
      </c>
      <c r="I31" s="77">
        <f>[91]好评返现对账!$B$111</f>
        <v>15</v>
      </c>
      <c r="J31" s="64">
        <f t="shared" si="11"/>
        <v>0</v>
      </c>
      <c r="K31" s="78"/>
    </row>
    <row r="32" customHeight="1" spans="1:11">
      <c r="A32" s="63">
        <v>43743</v>
      </c>
      <c r="B32" s="8" t="s">
        <v>31</v>
      </c>
      <c r="C32" s="8" t="s">
        <v>19</v>
      </c>
      <c r="D32" s="64">
        <f t="shared" si="9"/>
        <v>5280.8</v>
      </c>
      <c r="E32" s="6">
        <v>10000</v>
      </c>
      <c r="F32" s="6"/>
      <c r="G32" s="65">
        <v>2599</v>
      </c>
      <c r="H32" s="66">
        <f t="shared" si="10"/>
        <v>12681.8</v>
      </c>
      <c r="I32" s="77">
        <f>[93]对账!$B$108</f>
        <v>2761</v>
      </c>
      <c r="J32" s="64">
        <f t="shared" si="11"/>
        <v>-162</v>
      </c>
      <c r="K32" s="79"/>
    </row>
    <row r="33" customHeight="1" spans="1:11">
      <c r="A33" s="63">
        <v>43743</v>
      </c>
      <c r="B33" s="8" t="s">
        <v>18</v>
      </c>
      <c r="C33" s="8" t="s">
        <v>20</v>
      </c>
      <c r="D33" s="64">
        <f t="shared" si="9"/>
        <v>8360.2</v>
      </c>
      <c r="E33" s="6"/>
      <c r="F33" s="6"/>
      <c r="G33" s="65">
        <v>0</v>
      </c>
      <c r="H33" s="66">
        <f t="shared" si="10"/>
        <v>8360.2</v>
      </c>
      <c r="I33" s="77">
        <v>0</v>
      </c>
      <c r="J33" s="64">
        <f t="shared" si="11"/>
        <v>0</v>
      </c>
      <c r="K33" s="80"/>
    </row>
    <row r="34" customHeight="1" spans="1:11">
      <c r="A34" s="63">
        <v>43743</v>
      </c>
      <c r="B34" s="8" t="s">
        <v>18</v>
      </c>
      <c r="C34" s="8" t="s">
        <v>40</v>
      </c>
      <c r="D34" s="64">
        <f t="shared" si="9"/>
        <v>5972.64</v>
      </c>
      <c r="E34" s="6">
        <v>10000</v>
      </c>
      <c r="F34" s="6"/>
      <c r="G34" s="65">
        <v>2732</v>
      </c>
      <c r="H34" s="66">
        <f>D34+E34+F34-G34</f>
        <v>13240.64</v>
      </c>
      <c r="I34" s="77">
        <f>[92]账单!$E$7</f>
        <v>2732</v>
      </c>
      <c r="J34" s="64">
        <f t="shared" si="11"/>
        <v>0</v>
      </c>
      <c r="K34" s="80"/>
    </row>
    <row r="35" customHeight="1" spans="1:11">
      <c r="A35" s="63">
        <v>43743</v>
      </c>
      <c r="B35" s="68"/>
      <c r="C35" s="68" t="s">
        <v>41</v>
      </c>
      <c r="D35" s="69">
        <f t="shared" si="9"/>
        <v>6444.61</v>
      </c>
      <c r="E35" s="70"/>
      <c r="F35" s="70"/>
      <c r="G35" s="71">
        <v>0</v>
      </c>
      <c r="H35" s="72">
        <f>D35+E35+F35-G35</f>
        <v>6444.61</v>
      </c>
      <c r="I35" s="81">
        <v>0</v>
      </c>
      <c r="J35" s="69">
        <f t="shared" si="11"/>
        <v>0</v>
      </c>
      <c r="K35" s="82"/>
    </row>
    <row r="36" customHeight="1" spans="1:11">
      <c r="A36" s="52" t="s">
        <v>0</v>
      </c>
      <c r="B36" s="53" t="s">
        <v>1</v>
      </c>
      <c r="C36" s="53" t="s">
        <v>2</v>
      </c>
      <c r="D36" s="54" t="s">
        <v>3</v>
      </c>
      <c r="E36" s="53" t="s">
        <v>4</v>
      </c>
      <c r="F36" s="53" t="s">
        <v>5</v>
      </c>
      <c r="G36" s="55" t="s">
        <v>6</v>
      </c>
      <c r="H36" s="56" t="s">
        <v>7</v>
      </c>
      <c r="I36" s="73" t="s">
        <v>8</v>
      </c>
      <c r="J36" s="54" t="s">
        <v>9</v>
      </c>
      <c r="K36" s="74" t="s">
        <v>10</v>
      </c>
    </row>
    <row r="37" customHeight="1" spans="1:11">
      <c r="A37" s="57">
        <v>43744</v>
      </c>
      <c r="B37" s="58" t="s">
        <v>11</v>
      </c>
      <c r="C37" s="58" t="s">
        <v>12</v>
      </c>
      <c r="D37" s="59">
        <f t="shared" ref="D37:D42" si="12">H30</f>
        <v>1388.42</v>
      </c>
      <c r="E37" s="60"/>
      <c r="F37" s="60"/>
      <c r="G37" s="61">
        <v>331</v>
      </c>
      <c r="H37" s="62">
        <f t="shared" ref="H37:H40" si="13">D37-G37+E37+F37</f>
        <v>1057.42</v>
      </c>
      <c r="I37" s="75">
        <f>[90]对账!$B$131</f>
        <v>464</v>
      </c>
      <c r="J37" s="59">
        <f t="shared" ref="J37:J42" si="14">G37-I37</f>
        <v>-133</v>
      </c>
      <c r="K37" s="83"/>
    </row>
    <row r="38" customHeight="1" spans="1:11">
      <c r="A38" s="63">
        <v>43744</v>
      </c>
      <c r="B38" s="8" t="s">
        <v>65</v>
      </c>
      <c r="C38" s="8" t="s">
        <v>16</v>
      </c>
      <c r="D38" s="64">
        <f t="shared" si="12"/>
        <v>1486.88</v>
      </c>
      <c r="E38" s="6"/>
      <c r="F38" s="6"/>
      <c r="G38" s="65">
        <v>5</v>
      </c>
      <c r="H38" s="66">
        <f t="shared" si="13"/>
        <v>1481.88</v>
      </c>
      <c r="I38" s="77">
        <f>[91]好评返现对账!$B$112</f>
        <v>10</v>
      </c>
      <c r="J38" s="64">
        <f t="shared" si="14"/>
        <v>-5</v>
      </c>
      <c r="K38" s="78"/>
    </row>
    <row r="39" customHeight="1" spans="1:11">
      <c r="A39" s="63">
        <v>43744</v>
      </c>
      <c r="B39" s="8" t="s">
        <v>31</v>
      </c>
      <c r="C39" s="8" t="s">
        <v>19</v>
      </c>
      <c r="D39" s="64">
        <f t="shared" si="12"/>
        <v>12681.8</v>
      </c>
      <c r="E39" s="6"/>
      <c r="F39" s="6"/>
      <c r="G39" s="65">
        <v>2949</v>
      </c>
      <c r="H39" s="66">
        <f t="shared" si="13"/>
        <v>9732.8</v>
      </c>
      <c r="I39" s="77">
        <f>[93]对账!$B$109</f>
        <v>2949</v>
      </c>
      <c r="J39" s="64">
        <f t="shared" si="14"/>
        <v>0</v>
      </c>
      <c r="K39" s="79"/>
    </row>
    <row r="40" customHeight="1" spans="1:11">
      <c r="A40" s="63">
        <v>43744</v>
      </c>
      <c r="B40" s="8" t="s">
        <v>18</v>
      </c>
      <c r="C40" s="8" t="s">
        <v>20</v>
      </c>
      <c r="D40" s="64">
        <f t="shared" si="12"/>
        <v>8360.2</v>
      </c>
      <c r="E40" s="6"/>
      <c r="F40" s="6"/>
      <c r="G40" s="65">
        <v>0</v>
      </c>
      <c r="H40" s="66">
        <f t="shared" si="13"/>
        <v>8360.2</v>
      </c>
      <c r="I40" s="77">
        <v>0</v>
      </c>
      <c r="J40" s="64">
        <f t="shared" si="14"/>
        <v>0</v>
      </c>
      <c r="K40" s="80"/>
    </row>
    <row r="41" customHeight="1" spans="1:11">
      <c r="A41" s="63">
        <v>43744</v>
      </c>
      <c r="B41" s="8" t="s">
        <v>18</v>
      </c>
      <c r="C41" s="8" t="s">
        <v>40</v>
      </c>
      <c r="D41" s="64">
        <f t="shared" si="12"/>
        <v>13240.64</v>
      </c>
      <c r="E41" s="6"/>
      <c r="F41" s="6"/>
      <c r="G41" s="65">
        <v>3208</v>
      </c>
      <c r="H41" s="66">
        <f>D41+E41+F41-G41</f>
        <v>10032.64</v>
      </c>
      <c r="I41" s="77">
        <f>[92]账单!$E$8</f>
        <v>3205.2</v>
      </c>
      <c r="J41" s="64">
        <f t="shared" si="14"/>
        <v>2.80000000000018</v>
      </c>
      <c r="K41" s="80"/>
    </row>
    <row r="42" customHeight="1" spans="1:11">
      <c r="A42" s="67">
        <v>43744</v>
      </c>
      <c r="B42" s="68"/>
      <c r="C42" s="68" t="s">
        <v>41</v>
      </c>
      <c r="D42" s="69">
        <f t="shared" si="12"/>
        <v>6444.61</v>
      </c>
      <c r="E42" s="70"/>
      <c r="F42" s="70"/>
      <c r="G42" s="71">
        <v>0</v>
      </c>
      <c r="H42" s="72">
        <f>D42+E42+F42-G42</f>
        <v>6444.61</v>
      </c>
      <c r="I42" s="81">
        <v>0</v>
      </c>
      <c r="J42" s="69">
        <f t="shared" si="14"/>
        <v>0</v>
      </c>
      <c r="K42" s="82"/>
    </row>
    <row r="43" customHeight="1" spans="1:11">
      <c r="A43" s="52" t="s">
        <v>0</v>
      </c>
      <c r="B43" s="53" t="s">
        <v>1</v>
      </c>
      <c r="C43" s="53" t="s">
        <v>2</v>
      </c>
      <c r="D43" s="54" t="s">
        <v>3</v>
      </c>
      <c r="E43" s="53" t="s">
        <v>4</v>
      </c>
      <c r="F43" s="53" t="s">
        <v>5</v>
      </c>
      <c r="G43" s="55" t="s">
        <v>6</v>
      </c>
      <c r="H43" s="56" t="s">
        <v>7</v>
      </c>
      <c r="I43" s="73" t="s">
        <v>8</v>
      </c>
      <c r="J43" s="54" t="s">
        <v>9</v>
      </c>
      <c r="K43" s="74" t="s">
        <v>10</v>
      </c>
    </row>
    <row r="44" customHeight="1" spans="1:11">
      <c r="A44" s="57">
        <v>43745</v>
      </c>
      <c r="B44" s="58" t="s">
        <v>11</v>
      </c>
      <c r="C44" s="58" t="s">
        <v>12</v>
      </c>
      <c r="D44" s="59">
        <f t="shared" ref="D44:D49" si="15">H37</f>
        <v>1057.42</v>
      </c>
      <c r="E44" s="60"/>
      <c r="F44" s="60"/>
      <c r="G44" s="61">
        <v>394</v>
      </c>
      <c r="H44" s="62">
        <f t="shared" ref="H44:H47" si="16">D44-G44+E44+F44</f>
        <v>663.420000000001</v>
      </c>
      <c r="I44" s="75">
        <f>[90]对账!$B$132</f>
        <v>336</v>
      </c>
      <c r="J44" s="59">
        <f t="shared" ref="J44:J49" si="17">G44-I44</f>
        <v>58</v>
      </c>
      <c r="K44" s="83"/>
    </row>
    <row r="45" customHeight="1" spans="1:11">
      <c r="A45" s="63">
        <v>43745</v>
      </c>
      <c r="B45" s="8" t="s">
        <v>65</v>
      </c>
      <c r="C45" s="8" t="s">
        <v>16</v>
      </c>
      <c r="D45" s="64">
        <f t="shared" si="15"/>
        <v>1481.88</v>
      </c>
      <c r="E45" s="6"/>
      <c r="F45" s="6"/>
      <c r="G45" s="65">
        <v>20</v>
      </c>
      <c r="H45" s="66">
        <f t="shared" si="16"/>
        <v>1461.88</v>
      </c>
      <c r="I45" s="77">
        <f>[91]好评返现对账!$B$113</f>
        <v>20</v>
      </c>
      <c r="J45" s="64">
        <f t="shared" si="17"/>
        <v>0</v>
      </c>
      <c r="K45" s="78"/>
    </row>
    <row r="46" customHeight="1" spans="1:11">
      <c r="A46" s="63">
        <v>43745</v>
      </c>
      <c r="B46" s="8" t="s">
        <v>31</v>
      </c>
      <c r="C46" s="8" t="s">
        <v>19</v>
      </c>
      <c r="D46" s="64">
        <f t="shared" si="15"/>
        <v>9732.8</v>
      </c>
      <c r="E46" s="6">
        <v>10000</v>
      </c>
      <c r="F46" s="6"/>
      <c r="G46" s="65">
        <v>6589</v>
      </c>
      <c r="H46" s="66">
        <f t="shared" si="16"/>
        <v>13143.8</v>
      </c>
      <c r="I46" s="77">
        <f>[93]对账!$B$110</f>
        <v>6643</v>
      </c>
      <c r="J46" s="64">
        <f t="shared" si="17"/>
        <v>-54</v>
      </c>
      <c r="K46" s="79" t="s">
        <v>17</v>
      </c>
    </row>
    <row r="47" customHeight="1" spans="1:11">
      <c r="A47" s="63">
        <v>43745</v>
      </c>
      <c r="B47" s="8" t="s">
        <v>18</v>
      </c>
      <c r="C47" s="8" t="s">
        <v>20</v>
      </c>
      <c r="D47" s="64">
        <f t="shared" si="15"/>
        <v>8360.2</v>
      </c>
      <c r="E47" s="6"/>
      <c r="F47" s="6"/>
      <c r="G47" s="65">
        <v>0</v>
      </c>
      <c r="H47" s="66">
        <f t="shared" si="16"/>
        <v>8360.2</v>
      </c>
      <c r="I47" s="77">
        <v>0</v>
      </c>
      <c r="J47" s="64">
        <f t="shared" si="17"/>
        <v>0</v>
      </c>
      <c r="K47" s="80"/>
    </row>
    <row r="48" customHeight="1" spans="1:11">
      <c r="A48" s="63">
        <v>43745</v>
      </c>
      <c r="B48" s="8" t="s">
        <v>18</v>
      </c>
      <c r="C48" s="8" t="s">
        <v>40</v>
      </c>
      <c r="D48" s="64">
        <f t="shared" si="15"/>
        <v>10032.64</v>
      </c>
      <c r="E48" s="6"/>
      <c r="F48" s="6"/>
      <c r="G48" s="65">
        <v>0</v>
      </c>
      <c r="H48" s="66">
        <f>D48+E48+F48-G48</f>
        <v>10032.64</v>
      </c>
      <c r="I48" s="77">
        <v>0</v>
      </c>
      <c r="J48" s="64">
        <f t="shared" si="17"/>
        <v>0</v>
      </c>
      <c r="K48" s="80"/>
    </row>
    <row r="49" customHeight="1" spans="1:11">
      <c r="A49" s="67">
        <v>43745</v>
      </c>
      <c r="B49" s="68"/>
      <c r="C49" s="68" t="s">
        <v>41</v>
      </c>
      <c r="D49" s="69">
        <f t="shared" si="15"/>
        <v>6444.61</v>
      </c>
      <c r="E49" s="70"/>
      <c r="F49" s="70"/>
      <c r="G49" s="71">
        <v>0</v>
      </c>
      <c r="H49" s="72">
        <f>D49+E49+F49-G49</f>
        <v>6444.61</v>
      </c>
      <c r="I49" s="81">
        <v>0</v>
      </c>
      <c r="J49" s="69">
        <f t="shared" si="17"/>
        <v>0</v>
      </c>
      <c r="K49" s="82"/>
    </row>
    <row r="50" customHeight="1" spans="1:11">
      <c r="A50" s="52" t="s">
        <v>0</v>
      </c>
      <c r="B50" s="53" t="s">
        <v>1</v>
      </c>
      <c r="C50" s="53" t="s">
        <v>2</v>
      </c>
      <c r="D50" s="54" t="s">
        <v>3</v>
      </c>
      <c r="E50" s="53" t="s">
        <v>4</v>
      </c>
      <c r="F50" s="53" t="s">
        <v>5</v>
      </c>
      <c r="G50" s="55" t="s">
        <v>6</v>
      </c>
      <c r="H50" s="56" t="s">
        <v>7</v>
      </c>
      <c r="I50" s="73" t="s">
        <v>8</v>
      </c>
      <c r="J50" s="54" t="s">
        <v>9</v>
      </c>
      <c r="K50" s="74" t="s">
        <v>10</v>
      </c>
    </row>
    <row r="51" customHeight="1" spans="1:11">
      <c r="A51" s="57">
        <v>43746</v>
      </c>
      <c r="B51" s="58" t="s">
        <v>11</v>
      </c>
      <c r="C51" s="58" t="s">
        <v>12</v>
      </c>
      <c r="D51" s="59">
        <f t="shared" ref="D51:D56" si="18">H44</f>
        <v>663.420000000001</v>
      </c>
      <c r="E51" s="60">
        <v>10000</v>
      </c>
      <c r="F51" s="60"/>
      <c r="G51" s="61">
        <v>680</v>
      </c>
      <c r="H51" s="62">
        <f t="shared" ref="H51:H54" si="19">D51-G51+E51+F51</f>
        <v>9983.42</v>
      </c>
      <c r="I51" s="75">
        <f>[90]对账!$B$133</f>
        <v>668.82</v>
      </c>
      <c r="J51" s="59">
        <f t="shared" ref="J51:J56" si="20">G51-I51</f>
        <v>11.1799999999999</v>
      </c>
      <c r="K51" s="83"/>
    </row>
    <row r="52" customHeight="1" spans="1:11">
      <c r="A52" s="63">
        <v>43746</v>
      </c>
      <c r="B52" s="8" t="s">
        <v>65</v>
      </c>
      <c r="C52" s="8" t="s">
        <v>16</v>
      </c>
      <c r="D52" s="64">
        <f t="shared" si="18"/>
        <v>1461.88</v>
      </c>
      <c r="E52" s="6"/>
      <c r="F52" s="6"/>
      <c r="G52" s="65">
        <v>20</v>
      </c>
      <c r="H52" s="66">
        <f t="shared" si="19"/>
        <v>1441.88</v>
      </c>
      <c r="I52" s="77">
        <f>[91]好评返现对账!$B$114</f>
        <v>20</v>
      </c>
      <c r="J52" s="64">
        <f t="shared" si="20"/>
        <v>0</v>
      </c>
      <c r="K52" s="78"/>
    </row>
    <row r="53" customHeight="1" spans="1:11">
      <c r="A53" s="63">
        <v>43746</v>
      </c>
      <c r="B53" s="8" t="s">
        <v>31</v>
      </c>
      <c r="C53" s="8" t="s">
        <v>19</v>
      </c>
      <c r="D53" s="64">
        <f t="shared" si="18"/>
        <v>13143.8</v>
      </c>
      <c r="E53" s="6"/>
      <c r="F53" s="6">
        <f>59+59</f>
        <v>118</v>
      </c>
      <c r="G53" s="65">
        <v>4598</v>
      </c>
      <c r="H53" s="66">
        <f t="shared" si="19"/>
        <v>8663.8</v>
      </c>
      <c r="I53" s="77">
        <f>[93]对账!$B$111</f>
        <v>4539</v>
      </c>
      <c r="J53" s="64">
        <f t="shared" si="20"/>
        <v>59</v>
      </c>
      <c r="K53" s="79" t="s">
        <v>17</v>
      </c>
    </row>
    <row r="54" customHeight="1" spans="1:11">
      <c r="A54" s="63">
        <v>43746</v>
      </c>
      <c r="B54" s="8" t="s">
        <v>18</v>
      </c>
      <c r="C54" s="8" t="s">
        <v>20</v>
      </c>
      <c r="D54" s="64">
        <f t="shared" si="18"/>
        <v>8360.2</v>
      </c>
      <c r="E54" s="6"/>
      <c r="F54" s="6"/>
      <c r="G54" s="65">
        <v>0</v>
      </c>
      <c r="H54" s="66">
        <f t="shared" si="19"/>
        <v>8360.2</v>
      </c>
      <c r="I54" s="77">
        <v>0</v>
      </c>
      <c r="J54" s="64">
        <f t="shared" si="20"/>
        <v>0</v>
      </c>
      <c r="K54" s="80"/>
    </row>
    <row r="55" customHeight="1" spans="1:11">
      <c r="A55" s="63">
        <v>43746</v>
      </c>
      <c r="B55" s="8" t="s">
        <v>18</v>
      </c>
      <c r="C55" s="8" t="s">
        <v>40</v>
      </c>
      <c r="D55" s="64">
        <f t="shared" si="18"/>
        <v>10032.64</v>
      </c>
      <c r="E55" s="6"/>
      <c r="F55" s="6"/>
      <c r="G55" s="65">
        <v>3088</v>
      </c>
      <c r="H55" s="66">
        <f>D55+E55+F55-G55</f>
        <v>6944.64</v>
      </c>
      <c r="I55" s="77">
        <f>[92]账单!$E$10</f>
        <v>3087.82</v>
      </c>
      <c r="J55" s="64">
        <f t="shared" si="20"/>
        <v>0.179999999999836</v>
      </c>
      <c r="K55" s="80"/>
    </row>
    <row r="56" customHeight="1" spans="1:11">
      <c r="A56" s="67">
        <v>43746</v>
      </c>
      <c r="B56" s="68"/>
      <c r="C56" s="68" t="s">
        <v>41</v>
      </c>
      <c r="D56" s="69">
        <f t="shared" si="18"/>
        <v>6444.61</v>
      </c>
      <c r="E56" s="70"/>
      <c r="F56" s="70"/>
      <c r="G56" s="71">
        <v>0</v>
      </c>
      <c r="H56" s="72">
        <f>D56+E56+F56-G56</f>
        <v>6444.61</v>
      </c>
      <c r="I56" s="81">
        <v>0</v>
      </c>
      <c r="J56" s="69">
        <f t="shared" si="20"/>
        <v>0</v>
      </c>
      <c r="K56" s="82"/>
    </row>
    <row r="57" customHeight="1" spans="1:11">
      <c r="A57" s="52" t="s">
        <v>0</v>
      </c>
      <c r="B57" s="53" t="s">
        <v>1</v>
      </c>
      <c r="C57" s="53" t="s">
        <v>2</v>
      </c>
      <c r="D57" s="54" t="s">
        <v>3</v>
      </c>
      <c r="E57" s="53" t="s">
        <v>4</v>
      </c>
      <c r="F57" s="53" t="s">
        <v>5</v>
      </c>
      <c r="G57" s="55" t="s">
        <v>6</v>
      </c>
      <c r="H57" s="56" t="s">
        <v>7</v>
      </c>
      <c r="I57" s="73" t="s">
        <v>8</v>
      </c>
      <c r="J57" s="54" t="s">
        <v>9</v>
      </c>
      <c r="K57" s="74" t="s">
        <v>10</v>
      </c>
    </row>
    <row r="58" customHeight="1" spans="1:11">
      <c r="A58" s="57">
        <v>43747</v>
      </c>
      <c r="B58" s="58" t="s">
        <v>11</v>
      </c>
      <c r="C58" s="58" t="s">
        <v>12</v>
      </c>
      <c r="D58" s="59">
        <f t="shared" ref="D58:D63" si="21">H51</f>
        <v>9983.42</v>
      </c>
      <c r="E58" s="60"/>
      <c r="F58" s="60"/>
      <c r="G58" s="61">
        <v>133</v>
      </c>
      <c r="H58" s="62">
        <f t="shared" ref="H58:H61" si="22">D58-G58+E58+F58</f>
        <v>9850.42</v>
      </c>
      <c r="I58" s="75">
        <f>[97]对账!$B$134</f>
        <v>192</v>
      </c>
      <c r="J58" s="59">
        <f t="shared" ref="J58:J63" si="23">G58-I58</f>
        <v>-59</v>
      </c>
      <c r="K58" s="83"/>
    </row>
    <row r="59" customHeight="1" spans="1:11">
      <c r="A59" s="63">
        <v>43747</v>
      </c>
      <c r="B59" s="8" t="s">
        <v>65</v>
      </c>
      <c r="C59" s="8" t="s">
        <v>16</v>
      </c>
      <c r="D59" s="64">
        <f t="shared" si="21"/>
        <v>1441.88</v>
      </c>
      <c r="E59" s="6"/>
      <c r="F59" s="6"/>
      <c r="G59" s="65">
        <v>705</v>
      </c>
      <c r="H59" s="66">
        <f t="shared" si="22"/>
        <v>736.88</v>
      </c>
      <c r="I59" s="77">
        <f>[95]好评返现对账!$B$115</f>
        <v>700.25</v>
      </c>
      <c r="J59" s="64">
        <f t="shared" si="23"/>
        <v>4.75</v>
      </c>
      <c r="K59" s="78"/>
    </row>
    <row r="60" customHeight="1" spans="1:11">
      <c r="A60" s="63">
        <v>43747</v>
      </c>
      <c r="B60" s="8" t="s">
        <v>31</v>
      </c>
      <c r="C60" s="8" t="s">
        <v>19</v>
      </c>
      <c r="D60" s="64">
        <f t="shared" si="21"/>
        <v>8663.8</v>
      </c>
      <c r="E60" s="6">
        <v>10000</v>
      </c>
      <c r="F60" s="6"/>
      <c r="G60" s="65">
        <v>4119</v>
      </c>
      <c r="H60" s="66">
        <f t="shared" si="22"/>
        <v>14544.8</v>
      </c>
      <c r="I60" s="77">
        <f>[94]对账!$B$112</f>
        <v>4124</v>
      </c>
      <c r="J60" s="64">
        <f t="shared" si="23"/>
        <v>-5</v>
      </c>
      <c r="K60" s="79"/>
    </row>
    <row r="61" customHeight="1" spans="1:11">
      <c r="A61" s="63">
        <v>43747</v>
      </c>
      <c r="B61" s="8" t="s">
        <v>18</v>
      </c>
      <c r="C61" s="8" t="s">
        <v>20</v>
      </c>
      <c r="D61" s="64">
        <f t="shared" si="21"/>
        <v>8360.2</v>
      </c>
      <c r="E61" s="6"/>
      <c r="F61" s="6"/>
      <c r="G61" s="65">
        <v>0</v>
      </c>
      <c r="H61" s="66">
        <f t="shared" si="22"/>
        <v>8360.2</v>
      </c>
      <c r="I61" s="77">
        <v>0</v>
      </c>
      <c r="J61" s="64">
        <f t="shared" si="23"/>
        <v>0</v>
      </c>
      <c r="K61" s="80"/>
    </row>
    <row r="62" customHeight="1" spans="1:11">
      <c r="A62" s="63">
        <v>43747</v>
      </c>
      <c r="B62" s="8" t="s">
        <v>18</v>
      </c>
      <c r="C62" s="8" t="s">
        <v>40</v>
      </c>
      <c r="D62" s="64">
        <f t="shared" si="21"/>
        <v>6944.64</v>
      </c>
      <c r="E62" s="6"/>
      <c r="F62" s="6"/>
      <c r="G62" s="65">
        <v>2922</v>
      </c>
      <c r="H62" s="66">
        <f>D62+E62+F62-G62</f>
        <v>4022.64</v>
      </c>
      <c r="I62" s="77">
        <f>[96]账单!$E$11</f>
        <v>2922.28</v>
      </c>
      <c r="J62" s="64">
        <f t="shared" si="23"/>
        <v>-0.2800000000002</v>
      </c>
      <c r="K62" s="80"/>
    </row>
    <row r="63" customHeight="1" spans="1:11">
      <c r="A63" s="67">
        <v>43747</v>
      </c>
      <c r="B63" s="68"/>
      <c r="C63" s="68" t="s">
        <v>41</v>
      </c>
      <c r="D63" s="69">
        <f t="shared" si="21"/>
        <v>6444.61</v>
      </c>
      <c r="E63" s="70"/>
      <c r="F63" s="70"/>
      <c r="G63" s="71">
        <v>10</v>
      </c>
      <c r="H63" s="72">
        <f>D63+E63+F63-G63</f>
        <v>6434.61</v>
      </c>
      <c r="I63" s="81">
        <v>0</v>
      </c>
      <c r="J63" s="69">
        <f t="shared" si="23"/>
        <v>10</v>
      </c>
      <c r="K63" s="82"/>
    </row>
    <row r="64" customHeight="1" spans="1:11">
      <c r="A64" s="52" t="s">
        <v>0</v>
      </c>
      <c r="B64" s="53" t="s">
        <v>1</v>
      </c>
      <c r="C64" s="53" t="s">
        <v>2</v>
      </c>
      <c r="D64" s="54" t="s">
        <v>3</v>
      </c>
      <c r="E64" s="53" t="s">
        <v>4</v>
      </c>
      <c r="F64" s="53" t="s">
        <v>5</v>
      </c>
      <c r="G64" s="55" t="s">
        <v>6</v>
      </c>
      <c r="H64" s="56" t="s">
        <v>7</v>
      </c>
      <c r="I64" s="73" t="s">
        <v>8</v>
      </c>
      <c r="J64" s="54" t="s">
        <v>9</v>
      </c>
      <c r="K64" s="74" t="s">
        <v>10</v>
      </c>
    </row>
    <row r="65" customHeight="1" spans="1:11">
      <c r="A65" s="57">
        <v>43748</v>
      </c>
      <c r="B65" s="58" t="s">
        <v>11</v>
      </c>
      <c r="C65" s="58" t="s">
        <v>12</v>
      </c>
      <c r="D65" s="59">
        <f t="shared" ref="D65:D70" si="24">H58</f>
        <v>9850.42</v>
      </c>
      <c r="E65" s="60"/>
      <c r="F65" s="60"/>
      <c r="G65" s="61">
        <v>267</v>
      </c>
      <c r="H65" s="62">
        <f t="shared" ref="H65:H68" si="25">D65-G65+E65+F65</f>
        <v>9583.42</v>
      </c>
      <c r="I65" s="75">
        <f>[97]对账!$B$135</f>
        <v>272</v>
      </c>
      <c r="J65" s="59">
        <f t="shared" ref="J65:J70" si="26">G65-I65</f>
        <v>-5</v>
      </c>
      <c r="K65" s="83"/>
    </row>
    <row r="66" customHeight="1" spans="1:11">
      <c r="A66" s="63">
        <v>43748</v>
      </c>
      <c r="B66" s="8" t="s">
        <v>65</v>
      </c>
      <c r="C66" s="8" t="s">
        <v>16</v>
      </c>
      <c r="D66" s="64">
        <f t="shared" si="24"/>
        <v>736.88</v>
      </c>
      <c r="E66" s="6">
        <v>10000</v>
      </c>
      <c r="F66" s="6"/>
      <c r="G66" s="65">
        <v>727</v>
      </c>
      <c r="H66" s="66">
        <f t="shared" si="25"/>
        <v>10009.88</v>
      </c>
      <c r="I66" s="77">
        <f>[95]好评返现对账!$B$116</f>
        <v>726.82</v>
      </c>
      <c r="J66" s="64">
        <f t="shared" si="26"/>
        <v>0.17999999999995</v>
      </c>
      <c r="K66" s="78"/>
    </row>
    <row r="67" customHeight="1" spans="1:11">
      <c r="A67" s="63">
        <v>43748</v>
      </c>
      <c r="B67" s="8" t="s">
        <v>31</v>
      </c>
      <c r="C67" s="8" t="s">
        <v>19</v>
      </c>
      <c r="D67" s="64">
        <f t="shared" si="24"/>
        <v>14544.8</v>
      </c>
      <c r="E67" s="6">
        <v>10000</v>
      </c>
      <c r="F67" s="6"/>
      <c r="G67" s="65">
        <v>4632</v>
      </c>
      <c r="H67" s="66">
        <f t="shared" si="25"/>
        <v>19912.8</v>
      </c>
      <c r="I67" s="77">
        <f>[94]对账!$B$113</f>
        <v>4631.82</v>
      </c>
      <c r="J67" s="64">
        <f t="shared" si="26"/>
        <v>0.180000000000291</v>
      </c>
      <c r="K67" s="79"/>
    </row>
    <row r="68" customHeight="1" spans="1:11">
      <c r="A68" s="63">
        <v>43748</v>
      </c>
      <c r="B68" s="8" t="s">
        <v>18</v>
      </c>
      <c r="C68" s="8" t="s">
        <v>20</v>
      </c>
      <c r="D68" s="64">
        <f t="shared" si="24"/>
        <v>8360.2</v>
      </c>
      <c r="E68" s="6"/>
      <c r="F68" s="6"/>
      <c r="G68" s="65">
        <v>0</v>
      </c>
      <c r="H68" s="66">
        <f t="shared" si="25"/>
        <v>8360.2</v>
      </c>
      <c r="I68" s="77">
        <v>0</v>
      </c>
      <c r="J68" s="64">
        <f t="shared" si="26"/>
        <v>0</v>
      </c>
      <c r="K68" s="80"/>
    </row>
    <row r="69" customHeight="1" spans="1:11">
      <c r="A69" s="63">
        <v>43748</v>
      </c>
      <c r="B69" s="8" t="s">
        <v>18</v>
      </c>
      <c r="C69" s="8" t="s">
        <v>40</v>
      </c>
      <c r="D69" s="64">
        <f t="shared" si="24"/>
        <v>4022.64</v>
      </c>
      <c r="E69" s="6">
        <v>10000</v>
      </c>
      <c r="F69" s="6"/>
      <c r="G69" s="65">
        <v>3023</v>
      </c>
      <c r="H69" s="66">
        <f>D69+E69+F69-G69</f>
        <v>10999.64</v>
      </c>
      <c r="I69" s="77">
        <f>[96]账单!$E$12</f>
        <v>3023.5</v>
      </c>
      <c r="J69" s="64">
        <f t="shared" si="26"/>
        <v>-0.5</v>
      </c>
      <c r="K69" s="80"/>
    </row>
    <row r="70" customHeight="1" spans="1:11">
      <c r="A70" s="67">
        <v>43748</v>
      </c>
      <c r="B70" s="68"/>
      <c r="C70" s="68" t="s">
        <v>41</v>
      </c>
      <c r="D70" s="69">
        <f t="shared" si="24"/>
        <v>6434.61</v>
      </c>
      <c r="E70" s="70"/>
      <c r="F70" s="70"/>
      <c r="G70" s="71">
        <v>0</v>
      </c>
      <c r="H70" s="72">
        <f>D70+E70+F70-G70</f>
        <v>6434.61</v>
      </c>
      <c r="I70" s="81">
        <v>0</v>
      </c>
      <c r="J70" s="69">
        <f t="shared" si="26"/>
        <v>0</v>
      </c>
      <c r="K70" s="82"/>
    </row>
    <row r="71" customHeight="1" spans="1:11">
      <c r="A71" s="52" t="s">
        <v>0</v>
      </c>
      <c r="B71" s="53" t="s">
        <v>1</v>
      </c>
      <c r="C71" s="53" t="s">
        <v>2</v>
      </c>
      <c r="D71" s="54" t="s">
        <v>3</v>
      </c>
      <c r="E71" s="53" t="s">
        <v>4</v>
      </c>
      <c r="F71" s="53" t="s">
        <v>5</v>
      </c>
      <c r="G71" s="55" t="s">
        <v>6</v>
      </c>
      <c r="H71" s="56" t="s">
        <v>7</v>
      </c>
      <c r="I71" s="73" t="s">
        <v>8</v>
      </c>
      <c r="J71" s="54" t="s">
        <v>9</v>
      </c>
      <c r="K71" s="74" t="s">
        <v>10</v>
      </c>
    </row>
    <row r="72" customHeight="1" spans="1:11">
      <c r="A72" s="57">
        <v>43749</v>
      </c>
      <c r="B72" s="58" t="s">
        <v>11</v>
      </c>
      <c r="C72" s="58" t="s">
        <v>12</v>
      </c>
      <c r="D72" s="59">
        <f t="shared" ref="D72:D77" si="27">H65</f>
        <v>9583.42</v>
      </c>
      <c r="E72" s="60"/>
      <c r="F72" s="60"/>
      <c r="G72" s="61">
        <v>642</v>
      </c>
      <c r="H72" s="62">
        <f t="shared" ref="H72:H75" si="28">D72-G72+E72+F72</f>
        <v>8941.42</v>
      </c>
      <c r="I72" s="75">
        <f>[97]对账!$B$136</f>
        <v>642</v>
      </c>
      <c r="J72" s="59">
        <f t="shared" ref="J72:J77" si="29">G72-I72</f>
        <v>0</v>
      </c>
      <c r="K72" s="83"/>
    </row>
    <row r="73" customHeight="1" spans="1:11">
      <c r="A73" s="63">
        <v>43749</v>
      </c>
      <c r="B73" s="8" t="s">
        <v>65</v>
      </c>
      <c r="C73" s="8" t="s">
        <v>16</v>
      </c>
      <c r="D73" s="64">
        <f t="shared" si="27"/>
        <v>10009.88</v>
      </c>
      <c r="E73" s="6"/>
      <c r="F73" s="6"/>
      <c r="G73" s="65">
        <v>1484</v>
      </c>
      <c r="H73" s="66">
        <f t="shared" si="28"/>
        <v>8525.88</v>
      </c>
      <c r="I73" s="77">
        <f>[95]好评返现对账!$B$117</f>
        <v>1478.82</v>
      </c>
      <c r="J73" s="64">
        <f t="shared" si="29"/>
        <v>5.18000000000006</v>
      </c>
      <c r="K73" s="78"/>
    </row>
    <row r="74" customHeight="1" spans="1:11">
      <c r="A74" s="63">
        <v>43749</v>
      </c>
      <c r="B74" s="8" t="s">
        <v>31</v>
      </c>
      <c r="C74" s="8" t="s">
        <v>19</v>
      </c>
      <c r="D74" s="64">
        <f t="shared" si="27"/>
        <v>19912.8</v>
      </c>
      <c r="E74" s="6"/>
      <c r="F74" s="6"/>
      <c r="G74" s="65">
        <v>4594</v>
      </c>
      <c r="H74" s="66">
        <f t="shared" si="28"/>
        <v>15318.8</v>
      </c>
      <c r="I74" s="77">
        <f>[94]对账!$B$114</f>
        <v>4589</v>
      </c>
      <c r="J74" s="64">
        <f t="shared" si="29"/>
        <v>5</v>
      </c>
      <c r="K74" s="79"/>
    </row>
    <row r="75" customHeight="1" spans="1:11">
      <c r="A75" s="63">
        <v>43749</v>
      </c>
      <c r="B75" s="8" t="s">
        <v>18</v>
      </c>
      <c r="C75" s="8" t="s">
        <v>20</v>
      </c>
      <c r="D75" s="64">
        <f t="shared" si="27"/>
        <v>8360.2</v>
      </c>
      <c r="E75" s="6"/>
      <c r="F75" s="6"/>
      <c r="G75" s="65">
        <v>0</v>
      </c>
      <c r="H75" s="66">
        <f t="shared" si="28"/>
        <v>8360.2</v>
      </c>
      <c r="I75" s="77">
        <v>0</v>
      </c>
      <c r="J75" s="64">
        <f t="shared" si="29"/>
        <v>0</v>
      </c>
      <c r="K75" s="80"/>
    </row>
    <row r="76" customHeight="1" spans="1:11">
      <c r="A76" s="63">
        <v>43749</v>
      </c>
      <c r="B76" s="8" t="s">
        <v>18</v>
      </c>
      <c r="C76" s="8" t="s">
        <v>40</v>
      </c>
      <c r="D76" s="64">
        <f t="shared" si="27"/>
        <v>10999.64</v>
      </c>
      <c r="E76" s="6"/>
      <c r="F76" s="6">
        <v>134</v>
      </c>
      <c r="G76" s="65">
        <v>2840</v>
      </c>
      <c r="H76" s="66">
        <f>D76+E76+F76-G76</f>
        <v>8293.64</v>
      </c>
      <c r="I76" s="77">
        <f>[96]账单!$E$13</f>
        <v>2705.82</v>
      </c>
      <c r="J76" s="64">
        <f t="shared" si="29"/>
        <v>134.18</v>
      </c>
      <c r="K76" s="80" t="s">
        <v>81</v>
      </c>
    </row>
    <row r="77" customHeight="1" spans="1:11">
      <c r="A77" s="67">
        <v>43749</v>
      </c>
      <c r="B77" s="68"/>
      <c r="C77" s="68" t="s">
        <v>41</v>
      </c>
      <c r="D77" s="69">
        <f t="shared" si="27"/>
        <v>6434.61</v>
      </c>
      <c r="E77" s="70"/>
      <c r="F77" s="70"/>
      <c r="G77" s="71">
        <v>0</v>
      </c>
      <c r="H77" s="72">
        <f>D77+E77+F77-G77</f>
        <v>6434.61</v>
      </c>
      <c r="I77" s="81">
        <v>0</v>
      </c>
      <c r="J77" s="69">
        <f t="shared" si="29"/>
        <v>0</v>
      </c>
      <c r="K77" s="82"/>
    </row>
    <row r="78" customHeight="1" spans="1:11">
      <c r="A78" s="52" t="s">
        <v>0</v>
      </c>
      <c r="B78" s="53" t="s">
        <v>1</v>
      </c>
      <c r="C78" s="53" t="s">
        <v>2</v>
      </c>
      <c r="D78" s="54" t="s">
        <v>3</v>
      </c>
      <c r="E78" s="53" t="s">
        <v>4</v>
      </c>
      <c r="F78" s="53" t="s">
        <v>5</v>
      </c>
      <c r="G78" s="55" t="s">
        <v>6</v>
      </c>
      <c r="H78" s="56" t="s">
        <v>7</v>
      </c>
      <c r="I78" s="73" t="s">
        <v>8</v>
      </c>
      <c r="J78" s="54" t="s">
        <v>9</v>
      </c>
      <c r="K78" s="74" t="s">
        <v>10</v>
      </c>
    </row>
    <row r="79" customHeight="1" spans="1:11">
      <c r="A79" s="57">
        <v>43750</v>
      </c>
      <c r="B79" s="58" t="s">
        <v>11</v>
      </c>
      <c r="C79" s="58" t="s">
        <v>12</v>
      </c>
      <c r="D79" s="59">
        <f t="shared" ref="D79:D84" si="30">H72</f>
        <v>8941.42</v>
      </c>
      <c r="E79" s="60"/>
      <c r="F79" s="60">
        <v>2617</v>
      </c>
      <c r="G79" s="61">
        <v>492</v>
      </c>
      <c r="H79" s="62">
        <f t="shared" ref="H79:H82" si="31">D79-G79+E79+F79</f>
        <v>11066.42</v>
      </c>
      <c r="I79" s="75">
        <f>[97]对账!$B$137</f>
        <v>492</v>
      </c>
      <c r="J79" s="59">
        <f t="shared" ref="J79:J84" si="32">G79-I79</f>
        <v>0</v>
      </c>
      <c r="K79" s="83"/>
    </row>
    <row r="80" customHeight="1" spans="1:11">
      <c r="A80" s="63">
        <v>43750</v>
      </c>
      <c r="B80" s="8" t="s">
        <v>65</v>
      </c>
      <c r="C80" s="8" t="s">
        <v>16</v>
      </c>
      <c r="D80" s="64">
        <f t="shared" si="30"/>
        <v>8525.88</v>
      </c>
      <c r="E80" s="6"/>
      <c r="F80" s="6"/>
      <c r="G80" s="65">
        <v>235</v>
      </c>
      <c r="H80" s="66">
        <f t="shared" si="31"/>
        <v>8290.88</v>
      </c>
      <c r="I80" s="77">
        <f>[100]好评返现对账!$B$118</f>
        <v>234.82</v>
      </c>
      <c r="J80" s="64">
        <f t="shared" si="32"/>
        <v>0.180000000000007</v>
      </c>
      <c r="K80" s="78"/>
    </row>
    <row r="81" customHeight="1" spans="1:11">
      <c r="A81" s="63">
        <v>43750</v>
      </c>
      <c r="B81" s="8" t="s">
        <v>31</v>
      </c>
      <c r="C81" s="8" t="s">
        <v>19</v>
      </c>
      <c r="D81" s="64">
        <f t="shared" si="30"/>
        <v>15318.8</v>
      </c>
      <c r="E81" s="6"/>
      <c r="F81" s="6"/>
      <c r="G81" s="65">
        <v>4253</v>
      </c>
      <c r="H81" s="66">
        <f t="shared" si="31"/>
        <v>11065.8</v>
      </c>
      <c r="I81" s="77">
        <f>[94]对账!$B$115</f>
        <v>4278.42</v>
      </c>
      <c r="J81" s="64">
        <f t="shared" si="32"/>
        <v>-25.4200000000001</v>
      </c>
      <c r="K81" s="79"/>
    </row>
    <row r="82" customHeight="1" spans="1:11">
      <c r="A82" s="63">
        <v>43750</v>
      </c>
      <c r="B82" s="8" t="s">
        <v>18</v>
      </c>
      <c r="C82" s="8" t="s">
        <v>20</v>
      </c>
      <c r="D82" s="64">
        <f t="shared" si="30"/>
        <v>8360.2</v>
      </c>
      <c r="E82" s="6"/>
      <c r="F82" s="6"/>
      <c r="G82" s="65">
        <v>0</v>
      </c>
      <c r="H82" s="66">
        <f t="shared" si="31"/>
        <v>8360.2</v>
      </c>
      <c r="I82" s="77">
        <v>0</v>
      </c>
      <c r="J82" s="64">
        <f t="shared" si="32"/>
        <v>0</v>
      </c>
      <c r="K82" s="80"/>
    </row>
    <row r="83" customHeight="1" spans="1:11">
      <c r="A83" s="63">
        <v>43750</v>
      </c>
      <c r="B83" s="8" t="s">
        <v>18</v>
      </c>
      <c r="C83" s="8" t="s">
        <v>40</v>
      </c>
      <c r="D83" s="64">
        <f t="shared" si="30"/>
        <v>8293.64</v>
      </c>
      <c r="E83" s="6"/>
      <c r="F83" s="6"/>
      <c r="G83" s="65">
        <v>4096</v>
      </c>
      <c r="H83" s="66">
        <f>D83+E83+F83-G83</f>
        <v>4197.64</v>
      </c>
      <c r="I83" s="77">
        <f>[98]账单!$E$14</f>
        <v>4095.82</v>
      </c>
      <c r="J83" s="64">
        <f t="shared" si="32"/>
        <v>0.179999999999836</v>
      </c>
      <c r="K83" s="80"/>
    </row>
    <row r="84" customHeight="1" spans="1:11">
      <c r="A84" s="67">
        <v>43750</v>
      </c>
      <c r="B84" s="68"/>
      <c r="C84" s="68" t="s">
        <v>41</v>
      </c>
      <c r="D84" s="69">
        <f t="shared" si="30"/>
        <v>6434.61</v>
      </c>
      <c r="E84" s="70"/>
      <c r="F84" s="70"/>
      <c r="G84" s="71">
        <v>0</v>
      </c>
      <c r="H84" s="72">
        <f>D84+E84+F84-G84</f>
        <v>6434.61</v>
      </c>
      <c r="I84" s="81">
        <v>0</v>
      </c>
      <c r="J84" s="69">
        <f t="shared" si="32"/>
        <v>0</v>
      </c>
      <c r="K84" s="82"/>
    </row>
    <row r="85" customHeight="1" spans="1:11">
      <c r="A85" s="52" t="s">
        <v>0</v>
      </c>
      <c r="B85" s="53" t="s">
        <v>1</v>
      </c>
      <c r="C85" s="53" t="s">
        <v>2</v>
      </c>
      <c r="D85" s="54" t="s">
        <v>3</v>
      </c>
      <c r="E85" s="53" t="s">
        <v>4</v>
      </c>
      <c r="F85" s="53" t="s">
        <v>5</v>
      </c>
      <c r="G85" s="55" t="s">
        <v>6</v>
      </c>
      <c r="H85" s="56" t="s">
        <v>7</v>
      </c>
      <c r="I85" s="73" t="s">
        <v>8</v>
      </c>
      <c r="J85" s="54" t="s">
        <v>9</v>
      </c>
      <c r="K85" s="74" t="s">
        <v>10</v>
      </c>
    </row>
    <row r="86" customHeight="1" spans="1:11">
      <c r="A86" s="57">
        <v>43751</v>
      </c>
      <c r="B86" s="58" t="s">
        <v>11</v>
      </c>
      <c r="C86" s="58" t="s">
        <v>12</v>
      </c>
      <c r="D86" s="59">
        <f t="shared" ref="D86:D91" si="33">H79</f>
        <v>11066.42</v>
      </c>
      <c r="E86" s="60"/>
      <c r="F86" s="60"/>
      <c r="G86" s="61">
        <v>74</v>
      </c>
      <c r="H86" s="62">
        <f t="shared" ref="H86:H89" si="34">D86-G86+E86+F86</f>
        <v>10992.42</v>
      </c>
      <c r="I86" s="75">
        <f>[101]对账!$B$138</f>
        <v>74</v>
      </c>
      <c r="J86" s="59">
        <f t="shared" ref="J86:J91" si="35">G86-I86</f>
        <v>0</v>
      </c>
      <c r="K86" s="83"/>
    </row>
    <row r="87" customHeight="1" spans="1:11">
      <c r="A87" s="63">
        <v>43751</v>
      </c>
      <c r="B87" s="8" t="s">
        <v>65</v>
      </c>
      <c r="C87" s="8" t="s">
        <v>16</v>
      </c>
      <c r="D87" s="64">
        <f t="shared" si="33"/>
        <v>8290.88</v>
      </c>
      <c r="E87" s="6"/>
      <c r="F87" s="6"/>
      <c r="G87" s="65">
        <v>629</v>
      </c>
      <c r="H87" s="66">
        <f t="shared" si="34"/>
        <v>7661.88</v>
      </c>
      <c r="I87" s="77">
        <f>[102]好评返现对账!$B$119</f>
        <v>628.82</v>
      </c>
      <c r="J87" s="64">
        <f t="shared" si="35"/>
        <v>0.17999999999995</v>
      </c>
      <c r="K87" s="78"/>
    </row>
    <row r="88" customHeight="1" spans="1:11">
      <c r="A88" s="63">
        <v>43751</v>
      </c>
      <c r="B88" s="8" t="s">
        <v>31</v>
      </c>
      <c r="C88" s="8" t="s">
        <v>19</v>
      </c>
      <c r="D88" s="64">
        <f t="shared" si="33"/>
        <v>11065.8</v>
      </c>
      <c r="E88" s="6"/>
      <c r="F88" s="6"/>
      <c r="G88" s="65">
        <v>4328</v>
      </c>
      <c r="H88" s="66">
        <f t="shared" si="34"/>
        <v>6737.8</v>
      </c>
      <c r="I88" s="77">
        <f>[99]对账!$B$116</f>
        <v>4312.82</v>
      </c>
      <c r="J88" s="64">
        <f t="shared" si="35"/>
        <v>15.1800000000003</v>
      </c>
      <c r="K88" s="79"/>
    </row>
    <row r="89" customHeight="1" spans="1:11">
      <c r="A89" s="63">
        <v>43751</v>
      </c>
      <c r="B89" s="8" t="s">
        <v>18</v>
      </c>
      <c r="C89" s="8" t="s">
        <v>20</v>
      </c>
      <c r="D89" s="64">
        <f t="shared" si="33"/>
        <v>8360.2</v>
      </c>
      <c r="E89" s="6"/>
      <c r="F89" s="6"/>
      <c r="G89" s="65">
        <v>0</v>
      </c>
      <c r="H89" s="66">
        <f t="shared" si="34"/>
        <v>8360.2</v>
      </c>
      <c r="I89" s="77">
        <v>0</v>
      </c>
      <c r="J89" s="64">
        <f t="shared" si="35"/>
        <v>0</v>
      </c>
      <c r="K89" s="80"/>
    </row>
    <row r="90" customHeight="1" spans="1:11">
      <c r="A90" s="63">
        <v>43751</v>
      </c>
      <c r="B90" s="8" t="s">
        <v>18</v>
      </c>
      <c r="C90" s="8" t="s">
        <v>40</v>
      </c>
      <c r="D90" s="64">
        <f t="shared" si="33"/>
        <v>4197.64</v>
      </c>
      <c r="E90" s="6"/>
      <c r="F90" s="6"/>
      <c r="G90" s="65">
        <v>4156</v>
      </c>
      <c r="H90" s="66">
        <f>D90+E90+F90-G90</f>
        <v>41.6399999999994</v>
      </c>
      <c r="I90" s="77">
        <f>[98]账单!$E$15</f>
        <v>4155.86</v>
      </c>
      <c r="J90" s="64">
        <f t="shared" si="35"/>
        <v>0.140000000000327</v>
      </c>
      <c r="K90" s="80"/>
    </row>
    <row r="91" customHeight="1" spans="1:11">
      <c r="A91" s="67">
        <v>43751</v>
      </c>
      <c r="B91" s="68"/>
      <c r="C91" s="68" t="s">
        <v>41</v>
      </c>
      <c r="D91" s="69">
        <f t="shared" si="33"/>
        <v>6434.61</v>
      </c>
      <c r="E91" s="70"/>
      <c r="F91" s="70"/>
      <c r="G91" s="71">
        <v>0</v>
      </c>
      <c r="H91" s="72">
        <f>D91+E91+F91-G91</f>
        <v>6434.61</v>
      </c>
      <c r="I91" s="81">
        <v>0</v>
      </c>
      <c r="J91" s="69">
        <f t="shared" si="35"/>
        <v>0</v>
      </c>
      <c r="K91" s="82"/>
    </row>
    <row r="92" customHeight="1" spans="1:11">
      <c r="A92" s="52" t="s">
        <v>0</v>
      </c>
      <c r="B92" s="53" t="s">
        <v>1</v>
      </c>
      <c r="C92" s="53" t="s">
        <v>2</v>
      </c>
      <c r="D92" s="54" t="s">
        <v>3</v>
      </c>
      <c r="E92" s="53" t="s">
        <v>4</v>
      </c>
      <c r="F92" s="53" t="s">
        <v>5</v>
      </c>
      <c r="G92" s="55" t="s">
        <v>6</v>
      </c>
      <c r="H92" s="56" t="s">
        <v>7</v>
      </c>
      <c r="I92" s="73" t="s">
        <v>8</v>
      </c>
      <c r="J92" s="54" t="s">
        <v>9</v>
      </c>
      <c r="K92" s="74" t="s">
        <v>10</v>
      </c>
    </row>
    <row r="93" customHeight="1" spans="1:11">
      <c r="A93" s="57">
        <v>43752</v>
      </c>
      <c r="B93" s="58" t="s">
        <v>11</v>
      </c>
      <c r="C93" s="58" t="s">
        <v>12</v>
      </c>
      <c r="D93" s="59">
        <f t="shared" ref="D93:D98" si="36">H86</f>
        <v>10992.42</v>
      </c>
      <c r="E93" s="60"/>
      <c r="F93" s="60"/>
      <c r="G93" s="61">
        <v>148</v>
      </c>
      <c r="H93" s="62">
        <f t="shared" ref="H93:H96" si="37">D93-G93+E93+F93</f>
        <v>10844.42</v>
      </c>
      <c r="I93" s="75">
        <f>[101]对账!$B$139</f>
        <v>148</v>
      </c>
      <c r="J93" s="59">
        <f t="shared" ref="J93:J98" si="38">G93-I93</f>
        <v>0</v>
      </c>
      <c r="K93" s="83"/>
    </row>
    <row r="94" customHeight="1" spans="1:11">
      <c r="A94" s="63">
        <v>43752</v>
      </c>
      <c r="B94" s="8" t="s">
        <v>65</v>
      </c>
      <c r="C94" s="8" t="s">
        <v>16</v>
      </c>
      <c r="D94" s="64">
        <f t="shared" si="36"/>
        <v>7661.88</v>
      </c>
      <c r="E94" s="6"/>
      <c r="F94" s="6"/>
      <c r="G94" s="65">
        <v>0</v>
      </c>
      <c r="H94" s="66">
        <f t="shared" si="37"/>
        <v>7661.88</v>
      </c>
      <c r="I94" s="77">
        <f>[102]好评返现对账!$B$120</f>
        <v>0</v>
      </c>
      <c r="J94" s="64">
        <f t="shared" si="38"/>
        <v>0</v>
      </c>
      <c r="K94" s="78"/>
    </row>
    <row r="95" customHeight="1" spans="1:11">
      <c r="A95" s="63">
        <v>43752</v>
      </c>
      <c r="B95" s="8" t="s">
        <v>31</v>
      </c>
      <c r="C95" s="8" t="s">
        <v>19</v>
      </c>
      <c r="D95" s="64">
        <f t="shared" si="36"/>
        <v>6737.8</v>
      </c>
      <c r="E95" s="6"/>
      <c r="F95" s="6"/>
      <c r="G95" s="65">
        <f>5050-5</f>
        <v>5045</v>
      </c>
      <c r="H95" s="66">
        <f t="shared" si="37"/>
        <v>1692.8</v>
      </c>
      <c r="I95" s="77">
        <f>[103]对账!$B$117</f>
        <v>4939.82</v>
      </c>
      <c r="J95" s="64">
        <f t="shared" si="38"/>
        <v>105.18</v>
      </c>
      <c r="K95" s="79"/>
    </row>
    <row r="96" customHeight="1" spans="1:11">
      <c r="A96" s="63">
        <v>43752</v>
      </c>
      <c r="B96" s="8" t="s">
        <v>18</v>
      </c>
      <c r="C96" s="8" t="s">
        <v>20</v>
      </c>
      <c r="D96" s="64">
        <f t="shared" si="36"/>
        <v>8360.2</v>
      </c>
      <c r="E96" s="6"/>
      <c r="F96" s="6"/>
      <c r="G96" s="65">
        <v>0</v>
      </c>
      <c r="H96" s="66">
        <f t="shared" si="37"/>
        <v>8360.2</v>
      </c>
      <c r="I96" s="77">
        <v>0</v>
      </c>
      <c r="J96" s="64">
        <f t="shared" si="38"/>
        <v>0</v>
      </c>
      <c r="K96" s="80"/>
    </row>
    <row r="97" customHeight="1" spans="1:11">
      <c r="A97" s="63">
        <v>43752</v>
      </c>
      <c r="B97" s="8" t="s">
        <v>18</v>
      </c>
      <c r="C97" s="8" t="s">
        <v>40</v>
      </c>
      <c r="D97" s="64">
        <f t="shared" si="36"/>
        <v>41.6399999999994</v>
      </c>
      <c r="E97" s="6">
        <v>10000</v>
      </c>
      <c r="F97" s="6"/>
      <c r="G97" s="65">
        <v>4282</v>
      </c>
      <c r="H97" s="66">
        <f>D97+E97+F97-G97</f>
        <v>5759.64</v>
      </c>
      <c r="I97" s="77">
        <f>[105]账单!$E$16</f>
        <v>4282.46</v>
      </c>
      <c r="J97" s="64">
        <f t="shared" si="38"/>
        <v>-0.460000000000036</v>
      </c>
      <c r="K97" s="80"/>
    </row>
    <row r="98" customHeight="1" spans="1:11">
      <c r="A98" s="67">
        <v>43752</v>
      </c>
      <c r="B98" s="68"/>
      <c r="C98" s="68" t="s">
        <v>41</v>
      </c>
      <c r="D98" s="69">
        <f t="shared" si="36"/>
        <v>6434.61</v>
      </c>
      <c r="E98" s="70"/>
      <c r="F98" s="70"/>
      <c r="G98" s="71">
        <v>0</v>
      </c>
      <c r="H98" s="72">
        <f>D98+E98+F98-G98</f>
        <v>6434.61</v>
      </c>
      <c r="I98" s="81">
        <v>0</v>
      </c>
      <c r="J98" s="69">
        <f t="shared" si="38"/>
        <v>0</v>
      </c>
      <c r="K98" s="82"/>
    </row>
    <row r="99" customHeight="1" spans="1:11">
      <c r="A99" s="52" t="s">
        <v>0</v>
      </c>
      <c r="B99" s="53" t="s">
        <v>1</v>
      </c>
      <c r="C99" s="53" t="s">
        <v>2</v>
      </c>
      <c r="D99" s="54" t="s">
        <v>3</v>
      </c>
      <c r="E99" s="53" t="s">
        <v>4</v>
      </c>
      <c r="F99" s="53" t="s">
        <v>5</v>
      </c>
      <c r="G99" s="55" t="s">
        <v>6</v>
      </c>
      <c r="H99" s="56" t="s">
        <v>7</v>
      </c>
      <c r="I99" s="73" t="s">
        <v>8</v>
      </c>
      <c r="J99" s="54" t="s">
        <v>9</v>
      </c>
      <c r="K99" s="74" t="s">
        <v>10</v>
      </c>
    </row>
    <row r="100" customHeight="1" spans="1:11">
      <c r="A100" s="57">
        <v>43753</v>
      </c>
      <c r="B100" s="58" t="s">
        <v>11</v>
      </c>
      <c r="C100" s="58" t="s">
        <v>12</v>
      </c>
      <c r="D100" s="59">
        <f t="shared" ref="D100:D105" si="39">H93</f>
        <v>10844.42</v>
      </c>
      <c r="E100" s="60"/>
      <c r="F100" s="60"/>
      <c r="G100" s="61">
        <v>0</v>
      </c>
      <c r="H100" s="62">
        <f t="shared" ref="H100:H103" si="40">D100-G100+E100+F100</f>
        <v>10844.42</v>
      </c>
      <c r="I100" s="75">
        <v>0</v>
      </c>
      <c r="J100" s="59">
        <f t="shared" ref="J100:J105" si="41">G100-I100</f>
        <v>0</v>
      </c>
      <c r="K100" s="83"/>
    </row>
    <row r="101" customHeight="1" spans="1:11">
      <c r="A101" s="63">
        <v>43753</v>
      </c>
      <c r="B101" s="8" t="s">
        <v>65</v>
      </c>
      <c r="C101" s="8" t="s">
        <v>16</v>
      </c>
      <c r="D101" s="64">
        <f t="shared" si="39"/>
        <v>7661.88</v>
      </c>
      <c r="E101" s="6"/>
      <c r="F101" s="6"/>
      <c r="G101" s="65">
        <v>253</v>
      </c>
      <c r="H101" s="66">
        <f t="shared" si="40"/>
        <v>7408.88</v>
      </c>
      <c r="I101" s="77">
        <f>[102]好评返现对账!$B$121</f>
        <v>253</v>
      </c>
      <c r="J101" s="64">
        <f t="shared" si="41"/>
        <v>0</v>
      </c>
      <c r="K101" s="78"/>
    </row>
    <row r="102" customHeight="1" spans="1:11">
      <c r="A102" s="63">
        <v>43753</v>
      </c>
      <c r="B102" s="8" t="s">
        <v>31</v>
      </c>
      <c r="C102" s="8" t="s">
        <v>19</v>
      </c>
      <c r="D102" s="64">
        <f t="shared" si="39"/>
        <v>1692.8</v>
      </c>
      <c r="E102" s="6">
        <v>10000</v>
      </c>
      <c r="F102" s="6"/>
      <c r="G102" s="65">
        <v>4177</v>
      </c>
      <c r="H102" s="66">
        <f t="shared" si="40"/>
        <v>7515.8</v>
      </c>
      <c r="I102" s="77">
        <f>[103]对账!$B$118</f>
        <v>4234.96</v>
      </c>
      <c r="J102" s="64">
        <f t="shared" si="41"/>
        <v>-57.96</v>
      </c>
      <c r="K102" s="79"/>
    </row>
    <row r="103" customHeight="1" spans="1:11">
      <c r="A103" s="63">
        <v>43753</v>
      </c>
      <c r="B103" s="8" t="s">
        <v>18</v>
      </c>
      <c r="C103" s="8" t="s">
        <v>20</v>
      </c>
      <c r="D103" s="64">
        <f t="shared" si="39"/>
        <v>8360.2</v>
      </c>
      <c r="E103" s="6"/>
      <c r="F103" s="6"/>
      <c r="G103" s="65">
        <f>1554+12</f>
        <v>1566</v>
      </c>
      <c r="H103" s="66">
        <f t="shared" si="40"/>
        <v>6794.2</v>
      </c>
      <c r="I103" s="77">
        <f>[104]账单!$E$17</f>
        <v>1554</v>
      </c>
      <c r="J103" s="64">
        <f t="shared" si="41"/>
        <v>12</v>
      </c>
      <c r="K103" s="80"/>
    </row>
    <row r="104" customHeight="1" spans="1:11">
      <c r="A104" s="63">
        <v>43753</v>
      </c>
      <c r="B104" s="8" t="s">
        <v>18</v>
      </c>
      <c r="C104" s="8" t="s">
        <v>40</v>
      </c>
      <c r="D104" s="64">
        <f t="shared" si="39"/>
        <v>5759.64</v>
      </c>
      <c r="E104" s="6"/>
      <c r="F104" s="6"/>
      <c r="G104" s="65">
        <f>3629+41</f>
        <v>3670</v>
      </c>
      <c r="H104" s="66">
        <f>D104+E104+F104-G104</f>
        <v>2089.64</v>
      </c>
      <c r="I104" s="77">
        <f>[105]账单!$E$17</f>
        <v>3629.1</v>
      </c>
      <c r="J104" s="64">
        <f t="shared" si="41"/>
        <v>40.9000000000001</v>
      </c>
      <c r="K104" s="80"/>
    </row>
    <row r="105" customHeight="1" spans="1:11">
      <c r="A105" s="67">
        <v>43753</v>
      </c>
      <c r="B105" s="68"/>
      <c r="C105" s="68" t="s">
        <v>41</v>
      </c>
      <c r="D105" s="69">
        <f t="shared" si="39"/>
        <v>6434.61</v>
      </c>
      <c r="E105" s="70"/>
      <c r="F105" s="70"/>
      <c r="G105" s="71">
        <v>0</v>
      </c>
      <c r="H105" s="72">
        <f>D105+E105+F105-G105</f>
        <v>6434.61</v>
      </c>
      <c r="I105" s="81">
        <v>0</v>
      </c>
      <c r="J105" s="69">
        <f t="shared" si="41"/>
        <v>0</v>
      </c>
      <c r="K105" s="82"/>
    </row>
    <row r="106" customHeight="1" spans="1:11">
      <c r="A106" s="52" t="s">
        <v>0</v>
      </c>
      <c r="B106" s="53" t="s">
        <v>1</v>
      </c>
      <c r="C106" s="53" t="s">
        <v>2</v>
      </c>
      <c r="D106" s="54" t="s">
        <v>3</v>
      </c>
      <c r="E106" s="53" t="s">
        <v>4</v>
      </c>
      <c r="F106" s="53" t="s">
        <v>5</v>
      </c>
      <c r="G106" s="55" t="s">
        <v>6</v>
      </c>
      <c r="H106" s="56" t="s">
        <v>7</v>
      </c>
      <c r="I106" s="73" t="s">
        <v>8</v>
      </c>
      <c r="J106" s="54" t="s">
        <v>9</v>
      </c>
      <c r="K106" s="74" t="s">
        <v>10</v>
      </c>
    </row>
    <row r="107" customHeight="1" spans="1:11">
      <c r="A107" s="57">
        <v>43754</v>
      </c>
      <c r="B107" s="58" t="s">
        <v>11</v>
      </c>
      <c r="C107" s="58" t="s">
        <v>12</v>
      </c>
      <c r="D107" s="59">
        <f t="shared" ref="D107:D112" si="42">H100</f>
        <v>10844.42</v>
      </c>
      <c r="E107" s="60"/>
      <c r="F107" s="60"/>
      <c r="G107" s="61">
        <v>99</v>
      </c>
      <c r="H107" s="62">
        <f t="shared" ref="H107:H110" si="43">D107-G107+E107+F107</f>
        <v>10745.42</v>
      </c>
      <c r="I107" s="75">
        <f>[108]对账!$B$141</f>
        <v>99</v>
      </c>
      <c r="J107" s="59">
        <f t="shared" ref="J107:J112" si="44">G107-I107</f>
        <v>0</v>
      </c>
      <c r="K107" s="83"/>
    </row>
    <row r="108" customHeight="1" spans="1:11">
      <c r="A108" s="63">
        <v>43754</v>
      </c>
      <c r="B108" s="8" t="s">
        <v>65</v>
      </c>
      <c r="C108" s="8" t="s">
        <v>16</v>
      </c>
      <c r="D108" s="64">
        <f t="shared" si="42"/>
        <v>7408.88</v>
      </c>
      <c r="E108" s="6"/>
      <c r="F108" s="6"/>
      <c r="G108" s="65">
        <v>45</v>
      </c>
      <c r="H108" s="66">
        <f t="shared" si="43"/>
        <v>7363.88</v>
      </c>
      <c r="I108" s="77">
        <f>[102]好评返现对账!$B$122</f>
        <v>45</v>
      </c>
      <c r="J108" s="64">
        <f t="shared" si="44"/>
        <v>0</v>
      </c>
      <c r="K108" s="78"/>
    </row>
    <row r="109" customHeight="1" spans="1:11">
      <c r="A109" s="63">
        <v>43754</v>
      </c>
      <c r="B109" s="8" t="s">
        <v>31</v>
      </c>
      <c r="C109" s="8" t="s">
        <v>19</v>
      </c>
      <c r="D109" s="64">
        <f t="shared" si="42"/>
        <v>7515.8</v>
      </c>
      <c r="E109" s="6">
        <v>10000</v>
      </c>
      <c r="F109" s="6">
        <v>5</v>
      </c>
      <c r="G109" s="65">
        <v>4417</v>
      </c>
      <c r="H109" s="66">
        <f t="shared" si="43"/>
        <v>13103.8</v>
      </c>
      <c r="I109" s="77">
        <f>[103]对账!$B$119</f>
        <v>4409.64</v>
      </c>
      <c r="J109" s="64">
        <f t="shared" si="44"/>
        <v>7.35999999999967</v>
      </c>
      <c r="K109" s="79"/>
    </row>
    <row r="110" customHeight="1" spans="1:11">
      <c r="A110" s="63">
        <v>43754</v>
      </c>
      <c r="B110" s="8" t="s">
        <v>18</v>
      </c>
      <c r="C110" s="8" t="s">
        <v>20</v>
      </c>
      <c r="D110" s="64">
        <f t="shared" si="42"/>
        <v>6794.2</v>
      </c>
      <c r="E110" s="6"/>
      <c r="F110" s="6"/>
      <c r="G110" s="65">
        <v>2301</v>
      </c>
      <c r="H110" s="66">
        <f t="shared" si="43"/>
        <v>4493.2</v>
      </c>
      <c r="I110" s="77">
        <f>[104]账单!$E$18</f>
        <v>2300.82</v>
      </c>
      <c r="J110" s="64">
        <f t="shared" si="44"/>
        <v>0.179999999999836</v>
      </c>
      <c r="K110" s="80"/>
    </row>
    <row r="111" customHeight="1" spans="1:11">
      <c r="A111" s="63">
        <v>43754</v>
      </c>
      <c r="B111" s="8" t="s">
        <v>18</v>
      </c>
      <c r="C111" s="8" t="s">
        <v>40</v>
      </c>
      <c r="D111" s="64">
        <f t="shared" si="42"/>
        <v>2089.64</v>
      </c>
      <c r="E111" s="6">
        <v>10000</v>
      </c>
      <c r="F111" s="6"/>
      <c r="G111" s="65">
        <v>2751</v>
      </c>
      <c r="H111" s="66">
        <f>D111+E111+F111-G111</f>
        <v>9338.64</v>
      </c>
      <c r="I111" s="77">
        <f>[105]账单!$E$18</f>
        <v>2750.82</v>
      </c>
      <c r="J111" s="64">
        <f t="shared" si="44"/>
        <v>0.179999999999836</v>
      </c>
      <c r="K111" s="80"/>
    </row>
    <row r="112" customHeight="1" spans="1:11">
      <c r="A112" s="67">
        <v>43754</v>
      </c>
      <c r="B112" s="68"/>
      <c r="C112" s="68" t="s">
        <v>41</v>
      </c>
      <c r="D112" s="69">
        <f t="shared" si="42"/>
        <v>6434.61</v>
      </c>
      <c r="E112" s="70"/>
      <c r="F112" s="70"/>
      <c r="G112" s="71">
        <v>0</v>
      </c>
      <c r="H112" s="72">
        <f>D112+E112+F112-G112</f>
        <v>6434.61</v>
      </c>
      <c r="I112" s="81">
        <v>0</v>
      </c>
      <c r="J112" s="69">
        <f t="shared" si="44"/>
        <v>0</v>
      </c>
      <c r="K112" s="82"/>
    </row>
    <row r="113" customHeight="1" spans="1:11">
      <c r="A113" s="52" t="s">
        <v>0</v>
      </c>
      <c r="B113" s="53" t="s">
        <v>1</v>
      </c>
      <c r="C113" s="53" t="s">
        <v>2</v>
      </c>
      <c r="D113" s="54" t="s">
        <v>3</v>
      </c>
      <c r="E113" s="53" t="s">
        <v>4</v>
      </c>
      <c r="F113" s="53" t="s">
        <v>5</v>
      </c>
      <c r="G113" s="55" t="s">
        <v>6</v>
      </c>
      <c r="H113" s="56" t="s">
        <v>7</v>
      </c>
      <c r="I113" s="73" t="s">
        <v>8</v>
      </c>
      <c r="J113" s="54" t="s">
        <v>9</v>
      </c>
      <c r="K113" s="74" t="s">
        <v>10</v>
      </c>
    </row>
    <row r="114" customHeight="1" spans="1:11">
      <c r="A114" s="57">
        <v>43755</v>
      </c>
      <c r="B114" s="58" t="s">
        <v>11</v>
      </c>
      <c r="C114" s="58" t="s">
        <v>12</v>
      </c>
      <c r="D114" s="59">
        <f t="shared" ref="D114:D119" si="45">H107</f>
        <v>10745.42</v>
      </c>
      <c r="E114" s="60"/>
      <c r="F114" s="60"/>
      <c r="G114" s="61">
        <v>50</v>
      </c>
      <c r="H114" s="62">
        <f t="shared" ref="H114:H117" si="46">D114-G114+E114+F114</f>
        <v>10695.42</v>
      </c>
      <c r="I114" s="75">
        <f>[108]对账!$B$142</f>
        <v>50</v>
      </c>
      <c r="J114" s="59">
        <f t="shared" ref="J114:J119" si="47">G114-I114</f>
        <v>0</v>
      </c>
      <c r="K114" s="83"/>
    </row>
    <row r="115" customHeight="1" spans="1:11">
      <c r="A115" s="63">
        <v>43755</v>
      </c>
      <c r="B115" s="8" t="s">
        <v>65</v>
      </c>
      <c r="C115" s="8" t="s">
        <v>16</v>
      </c>
      <c r="D115" s="64">
        <f t="shared" si="45"/>
        <v>7363.88</v>
      </c>
      <c r="E115" s="6"/>
      <c r="F115" s="6"/>
      <c r="G115" s="65">
        <v>522</v>
      </c>
      <c r="H115" s="66">
        <f t="shared" si="46"/>
        <v>6841.88</v>
      </c>
      <c r="I115" s="77">
        <f>[106]好评返现对账!$B$123</f>
        <v>522</v>
      </c>
      <c r="J115" s="64">
        <f t="shared" si="47"/>
        <v>0</v>
      </c>
      <c r="K115" s="78"/>
    </row>
    <row r="116" customHeight="1" spans="1:11">
      <c r="A116" s="63">
        <v>43755</v>
      </c>
      <c r="B116" s="8" t="s">
        <v>31</v>
      </c>
      <c r="C116" s="8" t="s">
        <v>19</v>
      </c>
      <c r="D116" s="64">
        <f t="shared" si="45"/>
        <v>13103.8</v>
      </c>
      <c r="E116" s="6"/>
      <c r="F116" s="6">
        <f>59+5</f>
        <v>64</v>
      </c>
      <c r="G116" s="65">
        <v>8246</v>
      </c>
      <c r="H116" s="66">
        <f t="shared" si="46"/>
        <v>4921.8</v>
      </c>
      <c r="I116" s="77">
        <f>[107]对账!$B$120</f>
        <v>8807</v>
      </c>
      <c r="J116" s="64">
        <f t="shared" si="47"/>
        <v>-561</v>
      </c>
      <c r="K116" s="79"/>
    </row>
    <row r="117" customHeight="1" spans="1:11">
      <c r="A117" s="63">
        <v>43755</v>
      </c>
      <c r="B117" s="8" t="s">
        <v>18</v>
      </c>
      <c r="C117" s="8" t="s">
        <v>20</v>
      </c>
      <c r="D117" s="64">
        <f t="shared" si="45"/>
        <v>4493.2</v>
      </c>
      <c r="E117" s="6"/>
      <c r="F117" s="6"/>
      <c r="G117" s="65">
        <v>0</v>
      </c>
      <c r="H117" s="66">
        <f t="shared" si="46"/>
        <v>4493.2</v>
      </c>
      <c r="I117" s="77">
        <v>0</v>
      </c>
      <c r="J117" s="64">
        <f t="shared" si="47"/>
        <v>0</v>
      </c>
      <c r="K117" s="80"/>
    </row>
    <row r="118" customHeight="1" spans="1:11">
      <c r="A118" s="63">
        <v>43755</v>
      </c>
      <c r="B118" s="8" t="s">
        <v>18</v>
      </c>
      <c r="C118" s="8" t="s">
        <v>40</v>
      </c>
      <c r="D118" s="64">
        <f t="shared" si="45"/>
        <v>9338.64</v>
      </c>
      <c r="E118" s="6"/>
      <c r="F118" s="6"/>
      <c r="G118" s="65">
        <v>0</v>
      </c>
      <c r="H118" s="66">
        <f>D118+E118+F118-G118</f>
        <v>9338.64</v>
      </c>
      <c r="I118" s="77">
        <v>0</v>
      </c>
      <c r="J118" s="64">
        <f t="shared" si="47"/>
        <v>0</v>
      </c>
      <c r="K118" s="80"/>
    </row>
    <row r="119" customHeight="1" spans="1:11">
      <c r="A119" s="67">
        <v>43755</v>
      </c>
      <c r="B119" s="68"/>
      <c r="C119" s="68" t="s">
        <v>41</v>
      </c>
      <c r="D119" s="69">
        <f t="shared" si="45"/>
        <v>6434.61</v>
      </c>
      <c r="E119" s="70"/>
      <c r="F119" s="70"/>
      <c r="G119" s="71">
        <v>0</v>
      </c>
      <c r="H119" s="72">
        <f>D119+E119+F119-G119</f>
        <v>6434.61</v>
      </c>
      <c r="I119" s="81">
        <v>0</v>
      </c>
      <c r="J119" s="69">
        <f t="shared" si="47"/>
        <v>0</v>
      </c>
      <c r="K119" s="82"/>
    </row>
    <row r="120" customHeight="1" spans="1:11">
      <c r="A120" s="52" t="s">
        <v>0</v>
      </c>
      <c r="B120" s="53" t="s">
        <v>1</v>
      </c>
      <c r="C120" s="53" t="s">
        <v>2</v>
      </c>
      <c r="D120" s="54" t="s">
        <v>3</v>
      </c>
      <c r="E120" s="53" t="s">
        <v>4</v>
      </c>
      <c r="F120" s="53" t="s">
        <v>5</v>
      </c>
      <c r="G120" s="55" t="s">
        <v>6</v>
      </c>
      <c r="H120" s="56" t="s">
        <v>7</v>
      </c>
      <c r="I120" s="73" t="s">
        <v>8</v>
      </c>
      <c r="J120" s="54" t="s">
        <v>9</v>
      </c>
      <c r="K120" s="74" t="s">
        <v>10</v>
      </c>
    </row>
    <row r="121" customHeight="1" spans="1:11">
      <c r="A121" s="57">
        <v>43756</v>
      </c>
      <c r="B121" s="58" t="s">
        <v>11</v>
      </c>
      <c r="C121" s="58" t="s">
        <v>12</v>
      </c>
      <c r="D121" s="59">
        <f t="shared" ref="D121:D126" si="48">H114</f>
        <v>10695.42</v>
      </c>
      <c r="E121" s="60"/>
      <c r="F121" s="60"/>
      <c r="G121" s="61">
        <v>10</v>
      </c>
      <c r="H121" s="62">
        <f t="shared" ref="H121:H124" si="49">D121-G121+E121+F121</f>
        <v>10685.42</v>
      </c>
      <c r="I121" s="75">
        <f>[111]对账!$B$143</f>
        <v>10</v>
      </c>
      <c r="J121" s="59">
        <f t="shared" ref="J121:J126" si="50">G121-I121</f>
        <v>0</v>
      </c>
      <c r="K121" s="83"/>
    </row>
    <row r="122" customHeight="1" spans="1:11">
      <c r="A122" s="63">
        <v>43756</v>
      </c>
      <c r="B122" s="8" t="s">
        <v>65</v>
      </c>
      <c r="C122" s="8" t="s">
        <v>16</v>
      </c>
      <c r="D122" s="64">
        <f t="shared" si="48"/>
        <v>6841.88</v>
      </c>
      <c r="E122" s="6"/>
      <c r="F122" s="6"/>
      <c r="G122" s="65">
        <v>1081</v>
      </c>
      <c r="H122" s="66">
        <f t="shared" si="49"/>
        <v>5760.88</v>
      </c>
      <c r="I122" s="77">
        <f>[113]好评返现对账!$B$124</f>
        <v>1080.82</v>
      </c>
      <c r="J122" s="64">
        <f t="shared" si="50"/>
        <v>0.180000000000064</v>
      </c>
      <c r="K122" s="78"/>
    </row>
    <row r="123" customHeight="1" spans="1:11">
      <c r="A123" s="63">
        <v>43756</v>
      </c>
      <c r="B123" s="8" t="s">
        <v>31</v>
      </c>
      <c r="C123" s="8" t="s">
        <v>19</v>
      </c>
      <c r="D123" s="64">
        <f t="shared" si="48"/>
        <v>4921.8</v>
      </c>
      <c r="E123" s="6">
        <v>10000</v>
      </c>
      <c r="F123" s="6"/>
      <c r="G123" s="65">
        <v>3309</v>
      </c>
      <c r="H123" s="66">
        <f t="shared" si="49"/>
        <v>11612.8</v>
      </c>
      <c r="I123" s="77">
        <f>[112]对账!$B$121</f>
        <v>3309</v>
      </c>
      <c r="J123" s="64">
        <f t="shared" si="50"/>
        <v>0</v>
      </c>
      <c r="K123" s="79"/>
    </row>
    <row r="124" customHeight="1" spans="1:11">
      <c r="A124" s="63">
        <v>43756</v>
      </c>
      <c r="B124" s="8" t="s">
        <v>18</v>
      </c>
      <c r="C124" s="8" t="s">
        <v>20</v>
      </c>
      <c r="D124" s="64">
        <f t="shared" si="48"/>
        <v>4493.2</v>
      </c>
      <c r="E124" s="6"/>
      <c r="F124" s="6"/>
      <c r="G124" s="65">
        <v>2092</v>
      </c>
      <c r="H124" s="66">
        <f t="shared" si="49"/>
        <v>2401.2</v>
      </c>
      <c r="I124" s="77">
        <f>[110]账单!$E$20</f>
        <v>2091.82</v>
      </c>
      <c r="J124" s="64">
        <f t="shared" si="50"/>
        <v>0.179999999999836</v>
      </c>
      <c r="K124" s="80"/>
    </row>
    <row r="125" customHeight="1" spans="1:11">
      <c r="A125" s="63">
        <v>43756</v>
      </c>
      <c r="B125" s="8" t="s">
        <v>18</v>
      </c>
      <c r="C125" s="8" t="s">
        <v>40</v>
      </c>
      <c r="D125" s="64">
        <f t="shared" si="48"/>
        <v>9338.64</v>
      </c>
      <c r="E125" s="6"/>
      <c r="F125" s="6"/>
      <c r="G125" s="65">
        <v>2665</v>
      </c>
      <c r="H125" s="66">
        <f>D125+E125+F125-G125</f>
        <v>6673.64</v>
      </c>
      <c r="I125" s="77">
        <f>[109]账单!$E$20</f>
        <v>2664.64</v>
      </c>
      <c r="J125" s="64">
        <f t="shared" si="50"/>
        <v>0.360000000000127</v>
      </c>
      <c r="K125" s="80"/>
    </row>
    <row r="126" customHeight="1" spans="1:11">
      <c r="A126" s="67">
        <v>43756</v>
      </c>
      <c r="B126" s="68"/>
      <c r="C126" s="68" t="s">
        <v>41</v>
      </c>
      <c r="D126" s="69">
        <f t="shared" si="48"/>
        <v>6434.61</v>
      </c>
      <c r="E126" s="70"/>
      <c r="F126" s="70"/>
      <c r="G126" s="71">
        <v>0</v>
      </c>
      <c r="H126" s="72">
        <f>D126+E126+F126-G126</f>
        <v>6434.61</v>
      </c>
      <c r="I126" s="81">
        <v>0</v>
      </c>
      <c r="J126" s="69">
        <f t="shared" si="50"/>
        <v>0</v>
      </c>
      <c r="K126" s="82"/>
    </row>
    <row r="127" customHeight="1" spans="1:11">
      <c r="A127" s="52" t="s">
        <v>0</v>
      </c>
      <c r="B127" s="53" t="s">
        <v>1</v>
      </c>
      <c r="C127" s="53" t="s">
        <v>2</v>
      </c>
      <c r="D127" s="54" t="s">
        <v>3</v>
      </c>
      <c r="E127" s="53" t="s">
        <v>4</v>
      </c>
      <c r="F127" s="53" t="s">
        <v>5</v>
      </c>
      <c r="G127" s="55" t="s">
        <v>6</v>
      </c>
      <c r="H127" s="56" t="s">
        <v>7</v>
      </c>
      <c r="I127" s="73" t="s">
        <v>8</v>
      </c>
      <c r="J127" s="54" t="s">
        <v>9</v>
      </c>
      <c r="K127" s="74" t="s">
        <v>10</v>
      </c>
    </row>
    <row r="128" customHeight="1" spans="1:11">
      <c r="A128" s="57">
        <v>43757</v>
      </c>
      <c r="B128" s="58" t="s">
        <v>11</v>
      </c>
      <c r="C128" s="58" t="s">
        <v>12</v>
      </c>
      <c r="D128" s="59">
        <f t="shared" ref="D128:D133" si="51">H121</f>
        <v>10685.42</v>
      </c>
      <c r="E128" s="60"/>
      <c r="F128" s="60"/>
      <c r="G128" s="61">
        <v>217</v>
      </c>
      <c r="H128" s="62">
        <f t="shared" ref="H128:H131" si="52">D128-G128+E128+F128</f>
        <v>10468.42</v>
      </c>
      <c r="I128" s="75">
        <f>[111]对账!$B$144</f>
        <v>217</v>
      </c>
      <c r="J128" s="59">
        <f t="shared" ref="J128:J133" si="53">G128-I128</f>
        <v>0</v>
      </c>
      <c r="K128" s="83"/>
    </row>
    <row r="129" customHeight="1" spans="1:11">
      <c r="A129" s="63">
        <v>43757</v>
      </c>
      <c r="B129" s="8" t="s">
        <v>65</v>
      </c>
      <c r="C129" s="8" t="s">
        <v>16</v>
      </c>
      <c r="D129" s="64">
        <f t="shared" si="51"/>
        <v>5760.88</v>
      </c>
      <c r="E129" s="6"/>
      <c r="F129" s="6"/>
      <c r="G129" s="65">
        <v>957</v>
      </c>
      <c r="H129" s="66">
        <f t="shared" si="52"/>
        <v>4803.88</v>
      </c>
      <c r="I129" s="77">
        <f>[113]好评返现对账!$B$125</f>
        <v>956.64</v>
      </c>
      <c r="J129" s="64">
        <f t="shared" si="53"/>
        <v>0.360000000000014</v>
      </c>
      <c r="K129" s="78"/>
    </row>
    <row r="130" customHeight="1" spans="1:11">
      <c r="A130" s="63">
        <v>43757</v>
      </c>
      <c r="B130" s="8" t="s">
        <v>31</v>
      </c>
      <c r="C130" s="8" t="s">
        <v>19</v>
      </c>
      <c r="D130" s="64">
        <f t="shared" si="51"/>
        <v>11612.8</v>
      </c>
      <c r="E130" s="6"/>
      <c r="F130" s="6"/>
      <c r="G130" s="65">
        <v>3338</v>
      </c>
      <c r="H130" s="66">
        <f t="shared" si="52"/>
        <v>8274.8</v>
      </c>
      <c r="I130" s="77">
        <f>[112]对账!$B$122</f>
        <v>3450.82</v>
      </c>
      <c r="J130" s="64">
        <f t="shared" si="53"/>
        <v>-112.82</v>
      </c>
      <c r="K130" s="79" t="s">
        <v>17</v>
      </c>
    </row>
    <row r="131" customHeight="1" spans="1:11">
      <c r="A131" s="63">
        <v>43757</v>
      </c>
      <c r="B131" s="8" t="s">
        <v>18</v>
      </c>
      <c r="C131" s="8" t="s">
        <v>20</v>
      </c>
      <c r="D131" s="64">
        <f t="shared" si="51"/>
        <v>2401.2</v>
      </c>
      <c r="E131" s="6">
        <v>10000</v>
      </c>
      <c r="F131" s="6"/>
      <c r="G131" s="65">
        <v>3258</v>
      </c>
      <c r="H131" s="66">
        <f t="shared" si="52"/>
        <v>9143.2</v>
      </c>
      <c r="I131" s="77">
        <f>[110]账单!$E$21</f>
        <v>3254</v>
      </c>
      <c r="J131" s="64">
        <f t="shared" si="53"/>
        <v>4</v>
      </c>
      <c r="K131" s="80"/>
    </row>
    <row r="132" customHeight="1" spans="1:11">
      <c r="A132" s="63">
        <v>43757</v>
      </c>
      <c r="B132" s="8" t="s">
        <v>18</v>
      </c>
      <c r="C132" s="8" t="s">
        <v>40</v>
      </c>
      <c r="D132" s="64">
        <f t="shared" si="51"/>
        <v>6673.64</v>
      </c>
      <c r="E132" s="6"/>
      <c r="F132" s="6"/>
      <c r="G132" s="65">
        <v>1598</v>
      </c>
      <c r="H132" s="66">
        <f>D132+E132+F132-G132</f>
        <v>5075.64</v>
      </c>
      <c r="I132" s="77">
        <f>[109]账单!$E$21</f>
        <v>1597.82</v>
      </c>
      <c r="J132" s="64">
        <f t="shared" si="53"/>
        <v>0.180000000000064</v>
      </c>
      <c r="K132" s="80"/>
    </row>
    <row r="133" customHeight="1" spans="1:11">
      <c r="A133" s="67">
        <v>43757</v>
      </c>
      <c r="B133" s="68"/>
      <c r="C133" s="68" t="s">
        <v>41</v>
      </c>
      <c r="D133" s="69">
        <f t="shared" si="51"/>
        <v>6434.61</v>
      </c>
      <c r="E133" s="70"/>
      <c r="F133" s="70"/>
      <c r="G133" s="71">
        <v>0</v>
      </c>
      <c r="H133" s="72">
        <f>D133+E133+F133-G133</f>
        <v>6434.61</v>
      </c>
      <c r="I133" s="81">
        <v>0</v>
      </c>
      <c r="J133" s="69">
        <f t="shared" si="53"/>
        <v>0</v>
      </c>
      <c r="K133" s="82"/>
    </row>
    <row r="134" customHeight="1" spans="1:11">
      <c r="A134" s="52" t="s">
        <v>0</v>
      </c>
      <c r="B134" s="53" t="s">
        <v>1</v>
      </c>
      <c r="C134" s="53" t="s">
        <v>2</v>
      </c>
      <c r="D134" s="54" t="s">
        <v>3</v>
      </c>
      <c r="E134" s="53" t="s">
        <v>4</v>
      </c>
      <c r="F134" s="53" t="s">
        <v>5</v>
      </c>
      <c r="G134" s="55" t="s">
        <v>6</v>
      </c>
      <c r="H134" s="56" t="s">
        <v>7</v>
      </c>
      <c r="I134" s="73" t="s">
        <v>8</v>
      </c>
      <c r="J134" s="54" t="s">
        <v>9</v>
      </c>
      <c r="K134" s="74" t="s">
        <v>10</v>
      </c>
    </row>
    <row r="135" customHeight="1" spans="1:11">
      <c r="A135" s="57">
        <v>43758</v>
      </c>
      <c r="B135" s="58" t="s">
        <v>11</v>
      </c>
      <c r="C135" s="58" t="s">
        <v>12</v>
      </c>
      <c r="D135" s="59">
        <f t="shared" ref="D135:D140" si="54">H128</f>
        <v>10468.42</v>
      </c>
      <c r="E135" s="60"/>
      <c r="F135" s="60"/>
      <c r="G135" s="61">
        <v>74</v>
      </c>
      <c r="H135" s="62">
        <f t="shared" ref="H135:H138" si="55">D135-G135+E135+F135</f>
        <v>10394.42</v>
      </c>
      <c r="I135" s="75">
        <f>[111]对账!$B$145</f>
        <v>74</v>
      </c>
      <c r="J135" s="59">
        <f t="shared" ref="J135:J140" si="56">G135-I135</f>
        <v>0</v>
      </c>
      <c r="K135" s="83"/>
    </row>
    <row r="136" customHeight="1" spans="1:11">
      <c r="A136" s="63">
        <v>43758</v>
      </c>
      <c r="B136" s="8" t="s">
        <v>65</v>
      </c>
      <c r="C136" s="8" t="s">
        <v>16</v>
      </c>
      <c r="D136" s="64">
        <f t="shared" si="54"/>
        <v>4803.88</v>
      </c>
      <c r="E136" s="6"/>
      <c r="F136" s="6"/>
      <c r="G136" s="65">
        <v>540</v>
      </c>
      <c r="H136" s="66">
        <f t="shared" si="55"/>
        <v>4263.88</v>
      </c>
      <c r="I136" s="77">
        <f>[113]好评返现对账!$B$126</f>
        <v>539.82</v>
      </c>
      <c r="J136" s="64">
        <f t="shared" si="56"/>
        <v>0.17999999999995</v>
      </c>
      <c r="K136" s="78"/>
    </row>
    <row r="137" customHeight="1" spans="1:11">
      <c r="A137" s="63">
        <v>43758</v>
      </c>
      <c r="B137" s="8" t="s">
        <v>31</v>
      </c>
      <c r="C137" s="8" t="s">
        <v>19</v>
      </c>
      <c r="D137" s="64">
        <f t="shared" si="54"/>
        <v>8274.8</v>
      </c>
      <c r="E137" s="6"/>
      <c r="F137" s="6"/>
      <c r="G137" s="65">
        <v>3916</v>
      </c>
      <c r="H137" s="66">
        <f t="shared" si="55"/>
        <v>4358.8</v>
      </c>
      <c r="I137" s="77">
        <f>[112]对账!$B$123</f>
        <v>3801.64</v>
      </c>
      <c r="J137" s="64">
        <f t="shared" si="56"/>
        <v>114.36</v>
      </c>
      <c r="K137" s="79" t="s">
        <v>17</v>
      </c>
    </row>
    <row r="138" customHeight="1" spans="1:11">
      <c r="A138" s="63">
        <v>43758</v>
      </c>
      <c r="B138" s="8" t="s">
        <v>18</v>
      </c>
      <c r="C138" s="8" t="s">
        <v>20</v>
      </c>
      <c r="D138" s="64">
        <f t="shared" si="54"/>
        <v>9143.2</v>
      </c>
      <c r="E138" s="6"/>
      <c r="F138" s="6"/>
      <c r="G138" s="65">
        <f>1789+188</f>
        <v>1977</v>
      </c>
      <c r="H138" s="66">
        <f t="shared" si="55"/>
        <v>7166.2</v>
      </c>
      <c r="I138" s="77">
        <v>1977</v>
      </c>
      <c r="J138" s="64">
        <f t="shared" si="56"/>
        <v>0</v>
      </c>
      <c r="K138" s="80"/>
    </row>
    <row r="139" customHeight="1" spans="1:11">
      <c r="A139" s="63">
        <v>43758</v>
      </c>
      <c r="B139" s="8" t="s">
        <v>18</v>
      </c>
      <c r="C139" s="8" t="s">
        <v>40</v>
      </c>
      <c r="D139" s="64">
        <f t="shared" si="54"/>
        <v>5075.64</v>
      </c>
      <c r="E139" s="6"/>
      <c r="F139" s="6"/>
      <c r="G139" s="65">
        <f>3272-188</f>
        <v>3084</v>
      </c>
      <c r="H139" s="66">
        <f>D139+E139+F139-G139</f>
        <v>1991.64</v>
      </c>
      <c r="I139" s="77">
        <f>[109]账单!$E$22</f>
        <v>3272.5</v>
      </c>
      <c r="J139" s="64">
        <f t="shared" si="56"/>
        <v>-188.5</v>
      </c>
      <c r="K139" s="80"/>
    </row>
    <row r="140" customHeight="1" spans="1:11">
      <c r="A140" s="67">
        <v>43758</v>
      </c>
      <c r="B140" s="68"/>
      <c r="C140" s="68" t="s">
        <v>41</v>
      </c>
      <c r="D140" s="69">
        <f t="shared" si="54"/>
        <v>6434.61</v>
      </c>
      <c r="E140" s="70"/>
      <c r="F140" s="70"/>
      <c r="G140" s="71">
        <v>0</v>
      </c>
      <c r="H140" s="72">
        <f>D140+E140+F140-G140</f>
        <v>6434.61</v>
      </c>
      <c r="I140" s="81">
        <v>0</v>
      </c>
      <c r="J140" s="69">
        <f t="shared" si="56"/>
        <v>0</v>
      </c>
      <c r="K140" s="82"/>
    </row>
    <row r="141" customHeight="1" spans="1:11">
      <c r="A141" s="52" t="s">
        <v>0</v>
      </c>
      <c r="B141" s="53" t="s">
        <v>1</v>
      </c>
      <c r="C141" s="53" t="s">
        <v>2</v>
      </c>
      <c r="D141" s="54" t="s">
        <v>3</v>
      </c>
      <c r="E141" s="53" t="s">
        <v>4</v>
      </c>
      <c r="F141" s="53" t="s">
        <v>5</v>
      </c>
      <c r="G141" s="55" t="s">
        <v>6</v>
      </c>
      <c r="H141" s="56" t="s">
        <v>7</v>
      </c>
      <c r="I141" s="73" t="s">
        <v>8</v>
      </c>
      <c r="J141" s="54" t="s">
        <v>9</v>
      </c>
      <c r="K141" s="74" t="s">
        <v>10</v>
      </c>
    </row>
    <row r="142" customHeight="1" spans="1:11">
      <c r="A142" s="57">
        <v>43759</v>
      </c>
      <c r="B142" s="58" t="s">
        <v>11</v>
      </c>
      <c r="C142" s="58" t="s">
        <v>12</v>
      </c>
      <c r="D142" s="59">
        <f t="shared" ref="D142:D147" si="57">H135</f>
        <v>10394.42</v>
      </c>
      <c r="E142" s="60"/>
      <c r="F142" s="60">
        <v>50</v>
      </c>
      <c r="G142" s="61">
        <v>245</v>
      </c>
      <c r="H142" s="62">
        <f t="shared" ref="H142:H145" si="58">D142-G142+E142+F142</f>
        <v>10199.42</v>
      </c>
      <c r="I142" s="75">
        <f>[111]对账!$B$146</f>
        <v>303.82</v>
      </c>
      <c r="J142" s="59">
        <f t="shared" ref="J142:J147" si="59">G142-I142</f>
        <v>-58.82</v>
      </c>
      <c r="K142" s="83"/>
    </row>
    <row r="143" customHeight="1" spans="1:11">
      <c r="A143" s="63">
        <v>43759</v>
      </c>
      <c r="B143" s="8" t="s">
        <v>65</v>
      </c>
      <c r="C143" s="8" t="s">
        <v>16</v>
      </c>
      <c r="D143" s="64">
        <f t="shared" si="57"/>
        <v>4263.88</v>
      </c>
      <c r="E143" s="6"/>
      <c r="F143" s="6"/>
      <c r="G143" s="65">
        <v>650</v>
      </c>
      <c r="H143" s="66">
        <f t="shared" si="58"/>
        <v>3613.88</v>
      </c>
      <c r="I143" s="77">
        <f>[113]好评返现对账!$B$127</f>
        <v>645</v>
      </c>
      <c r="J143" s="64">
        <f t="shared" si="59"/>
        <v>5</v>
      </c>
      <c r="K143" s="78"/>
    </row>
    <row r="144" customHeight="1" spans="1:11">
      <c r="A144" s="63">
        <v>43759</v>
      </c>
      <c r="B144" s="8" t="s">
        <v>31</v>
      </c>
      <c r="C144" s="8" t="s">
        <v>19</v>
      </c>
      <c r="D144" s="64">
        <f t="shared" si="57"/>
        <v>4358.8</v>
      </c>
      <c r="E144" s="6">
        <v>10000</v>
      </c>
      <c r="F144" s="6"/>
      <c r="G144" s="65">
        <v>3776</v>
      </c>
      <c r="H144" s="66">
        <f t="shared" si="58"/>
        <v>10582.8</v>
      </c>
      <c r="I144" s="77">
        <f>[118]对账!$B$124</f>
        <v>3776</v>
      </c>
      <c r="J144" s="64">
        <f t="shared" si="59"/>
        <v>0</v>
      </c>
      <c r="K144" s="79"/>
    </row>
    <row r="145" customHeight="1" spans="1:11">
      <c r="A145" s="63">
        <v>43759</v>
      </c>
      <c r="B145" s="8" t="s">
        <v>18</v>
      </c>
      <c r="C145" s="8" t="s">
        <v>20</v>
      </c>
      <c r="D145" s="64">
        <f t="shared" si="57"/>
        <v>7166.2</v>
      </c>
      <c r="E145" s="6"/>
      <c r="F145" s="6"/>
      <c r="G145" s="65">
        <v>3876</v>
      </c>
      <c r="H145" s="66">
        <f t="shared" si="58"/>
        <v>3290.2</v>
      </c>
      <c r="I145" s="77">
        <f>[110]账单!$E$23</f>
        <v>3876.18</v>
      </c>
      <c r="J145" s="64">
        <f t="shared" si="59"/>
        <v>-0.179999999999836</v>
      </c>
      <c r="K145" s="80"/>
    </row>
    <row r="146" customHeight="1" spans="1:11">
      <c r="A146" s="63">
        <v>43759</v>
      </c>
      <c r="B146" s="8" t="s">
        <v>18</v>
      </c>
      <c r="C146" s="8" t="s">
        <v>40</v>
      </c>
      <c r="D146" s="64">
        <f t="shared" si="57"/>
        <v>1991.64</v>
      </c>
      <c r="E146" s="6"/>
      <c r="F146" s="6"/>
      <c r="G146" s="65">
        <v>1110</v>
      </c>
      <c r="H146" s="66">
        <f>D146+E146+F146-G146</f>
        <v>881.639999999999</v>
      </c>
      <c r="I146" s="77">
        <f>[109]账单!$E$23</f>
        <v>1110</v>
      </c>
      <c r="J146" s="64">
        <f t="shared" si="59"/>
        <v>0</v>
      </c>
      <c r="K146" s="80"/>
    </row>
    <row r="147" customHeight="1" spans="1:11">
      <c r="A147" s="67">
        <v>43759</v>
      </c>
      <c r="B147" s="68"/>
      <c r="C147" s="68" t="s">
        <v>41</v>
      </c>
      <c r="D147" s="69">
        <f t="shared" si="57"/>
        <v>6434.61</v>
      </c>
      <c r="E147" s="70"/>
      <c r="F147" s="70"/>
      <c r="G147" s="71">
        <v>0</v>
      </c>
      <c r="H147" s="72">
        <f>D147+E147+F147-G147</f>
        <v>6434.61</v>
      </c>
      <c r="I147" s="81">
        <v>0</v>
      </c>
      <c r="J147" s="69">
        <f t="shared" si="59"/>
        <v>0</v>
      </c>
      <c r="K147" s="82"/>
    </row>
    <row r="148" customHeight="1" spans="1:11">
      <c r="A148" s="52" t="s">
        <v>0</v>
      </c>
      <c r="B148" s="53" t="s">
        <v>1</v>
      </c>
      <c r="C148" s="53" t="s">
        <v>2</v>
      </c>
      <c r="D148" s="54" t="s">
        <v>3</v>
      </c>
      <c r="E148" s="53" t="s">
        <v>4</v>
      </c>
      <c r="F148" s="53" t="s">
        <v>5</v>
      </c>
      <c r="G148" s="55" t="s">
        <v>6</v>
      </c>
      <c r="H148" s="56" t="s">
        <v>7</v>
      </c>
      <c r="I148" s="73" t="s">
        <v>8</v>
      </c>
      <c r="J148" s="54" t="s">
        <v>9</v>
      </c>
      <c r="K148" s="74" t="s">
        <v>10</v>
      </c>
    </row>
    <row r="149" customHeight="1" spans="1:11">
      <c r="A149" s="57">
        <v>43760</v>
      </c>
      <c r="B149" s="58" t="s">
        <v>11</v>
      </c>
      <c r="C149" s="58" t="s">
        <v>12</v>
      </c>
      <c r="D149" s="59">
        <f t="shared" ref="D149:D154" si="60">H142</f>
        <v>10199.42</v>
      </c>
      <c r="E149" s="60"/>
      <c r="F149" s="60"/>
      <c r="G149" s="61">
        <v>162</v>
      </c>
      <c r="H149" s="62">
        <f t="shared" ref="H149:H152" si="61">D149-G149+E149+F149</f>
        <v>10037.42</v>
      </c>
      <c r="I149" s="75">
        <f>[114]对账!$B$147</f>
        <v>162</v>
      </c>
      <c r="J149" s="59">
        <f t="shared" ref="J149:J155" si="62">G149-I149</f>
        <v>0</v>
      </c>
      <c r="K149" s="83"/>
    </row>
    <row r="150" customHeight="1" spans="1:11">
      <c r="A150" s="63">
        <v>43760</v>
      </c>
      <c r="B150" s="8" t="s">
        <v>65</v>
      </c>
      <c r="C150" s="8" t="s">
        <v>16</v>
      </c>
      <c r="D150" s="64">
        <f t="shared" si="60"/>
        <v>3613.88</v>
      </c>
      <c r="E150" s="6"/>
      <c r="F150" s="6"/>
      <c r="G150" s="65">
        <v>546</v>
      </c>
      <c r="H150" s="66">
        <f t="shared" si="61"/>
        <v>3067.88</v>
      </c>
      <c r="I150" s="77">
        <f>[119]好评返现对账!$B$128</f>
        <v>546</v>
      </c>
      <c r="J150" s="64">
        <f t="shared" si="62"/>
        <v>0</v>
      </c>
      <c r="K150" s="78"/>
    </row>
    <row r="151" customHeight="1" spans="1:11">
      <c r="A151" s="63">
        <v>43760</v>
      </c>
      <c r="B151" s="8" t="s">
        <v>31</v>
      </c>
      <c r="C151" s="8" t="s">
        <v>19</v>
      </c>
      <c r="D151" s="64">
        <f t="shared" si="60"/>
        <v>10582.8</v>
      </c>
      <c r="E151" s="6"/>
      <c r="F151" s="6"/>
      <c r="G151" s="65">
        <v>4017</v>
      </c>
      <c r="H151" s="66">
        <f t="shared" si="61"/>
        <v>6565.8</v>
      </c>
      <c r="I151" s="77">
        <f>[118]对账!$B$125</f>
        <v>4004.82</v>
      </c>
      <c r="J151" s="64">
        <f t="shared" si="62"/>
        <v>12.1799999999998</v>
      </c>
      <c r="K151" s="79"/>
    </row>
    <row r="152" customHeight="1" spans="1:11">
      <c r="A152" s="63">
        <v>43760</v>
      </c>
      <c r="B152" s="8" t="s">
        <v>18</v>
      </c>
      <c r="C152" s="8" t="s">
        <v>20</v>
      </c>
      <c r="D152" s="64">
        <f t="shared" si="60"/>
        <v>3290.2</v>
      </c>
      <c r="E152" s="6">
        <v>10000</v>
      </c>
      <c r="F152" s="6"/>
      <c r="G152" s="65">
        <f>4738</f>
        <v>4738</v>
      </c>
      <c r="H152" s="66">
        <f t="shared" si="61"/>
        <v>8552.2</v>
      </c>
      <c r="I152" s="77">
        <f>[116]账单!$E$24</f>
        <v>4738</v>
      </c>
      <c r="J152" s="64">
        <f t="shared" si="62"/>
        <v>0</v>
      </c>
      <c r="K152" s="80"/>
    </row>
    <row r="153" customHeight="1" spans="1:11">
      <c r="A153" s="63">
        <v>43760</v>
      </c>
      <c r="B153" s="8" t="s">
        <v>18</v>
      </c>
      <c r="C153" s="8" t="s">
        <v>40</v>
      </c>
      <c r="D153" s="64">
        <f t="shared" si="60"/>
        <v>881.639999999999</v>
      </c>
      <c r="E153" s="6">
        <v>10000</v>
      </c>
      <c r="F153" s="6"/>
      <c r="G153" s="65">
        <v>459</v>
      </c>
      <c r="H153" s="66">
        <f>D153+E153+F153-G153</f>
        <v>10422.64</v>
      </c>
      <c r="I153" s="77">
        <f>[115]账单!$E$24</f>
        <v>459</v>
      </c>
      <c r="J153" s="64">
        <f t="shared" si="62"/>
        <v>0</v>
      </c>
      <c r="K153" s="80"/>
    </row>
    <row r="154" customHeight="1" spans="1:11">
      <c r="A154" s="63">
        <v>43760</v>
      </c>
      <c r="B154" s="8"/>
      <c r="C154" s="8" t="s">
        <v>41</v>
      </c>
      <c r="D154" s="64">
        <f t="shared" si="60"/>
        <v>6434.61</v>
      </c>
      <c r="E154" s="6"/>
      <c r="F154" s="6"/>
      <c r="G154" s="65">
        <v>0</v>
      </c>
      <c r="H154" s="66">
        <f>D154+E154+F154-G154</f>
        <v>6434.61</v>
      </c>
      <c r="I154" s="77">
        <v>0</v>
      </c>
      <c r="J154" s="64">
        <f t="shared" si="62"/>
        <v>0</v>
      </c>
      <c r="K154" s="80"/>
    </row>
    <row r="155" customHeight="1" spans="1:11">
      <c r="A155" s="84">
        <v>43760</v>
      </c>
      <c r="B155" s="85" t="s">
        <v>82</v>
      </c>
      <c r="C155" s="85" t="s">
        <v>83</v>
      </c>
      <c r="D155" s="86">
        <v>0</v>
      </c>
      <c r="E155" s="87">
        <v>10000</v>
      </c>
      <c r="F155" s="87"/>
      <c r="G155" s="88">
        <v>118</v>
      </c>
      <c r="H155" s="89">
        <f>D155+E155+F155-G155</f>
        <v>9882</v>
      </c>
      <c r="I155" s="95">
        <f>[117]对账!$B$2</f>
        <v>118</v>
      </c>
      <c r="J155" s="86">
        <f t="shared" si="62"/>
        <v>0</v>
      </c>
      <c r="K155" s="96"/>
    </row>
    <row r="156" customHeight="1" spans="1:11">
      <c r="A156" s="90" t="s">
        <v>0</v>
      </c>
      <c r="B156" s="91" t="s">
        <v>1</v>
      </c>
      <c r="C156" s="91" t="s">
        <v>2</v>
      </c>
      <c r="D156" s="92" t="s">
        <v>3</v>
      </c>
      <c r="E156" s="91" t="s">
        <v>4</v>
      </c>
      <c r="F156" s="91" t="s">
        <v>5</v>
      </c>
      <c r="G156" s="93" t="s">
        <v>6</v>
      </c>
      <c r="H156" s="94" t="s">
        <v>7</v>
      </c>
      <c r="I156" s="97" t="s">
        <v>8</v>
      </c>
      <c r="J156" s="92" t="s">
        <v>9</v>
      </c>
      <c r="K156" s="98" t="s">
        <v>10</v>
      </c>
    </row>
    <row r="157" customHeight="1" spans="1:11">
      <c r="A157" s="57">
        <v>43761</v>
      </c>
      <c r="B157" s="58" t="s">
        <v>11</v>
      </c>
      <c r="C157" s="58" t="s">
        <v>12</v>
      </c>
      <c r="D157" s="59">
        <f t="shared" ref="D157:D163" si="63">H149</f>
        <v>10037.42</v>
      </c>
      <c r="E157" s="60"/>
      <c r="F157" s="60"/>
      <c r="G157" s="61">
        <v>2985</v>
      </c>
      <c r="H157" s="62">
        <f t="shared" ref="H157:H160" si="64">D157-G157+E157+F157</f>
        <v>7052.42</v>
      </c>
      <c r="I157" s="75">
        <f>[114]对账!$B$148</f>
        <v>2985.1</v>
      </c>
      <c r="J157" s="59">
        <f t="shared" ref="J157:J163" si="65">G157-I157</f>
        <v>-0.0999999999999091</v>
      </c>
      <c r="K157" s="83"/>
    </row>
    <row r="158" customHeight="1" spans="1:11">
      <c r="A158" s="63">
        <v>43761</v>
      </c>
      <c r="B158" s="8" t="s">
        <v>65</v>
      </c>
      <c r="C158" s="8" t="s">
        <v>16</v>
      </c>
      <c r="D158" s="64">
        <f t="shared" si="63"/>
        <v>3067.88</v>
      </c>
      <c r="E158" s="6"/>
      <c r="F158" s="6"/>
      <c r="G158" s="65">
        <v>0</v>
      </c>
      <c r="H158" s="66">
        <f t="shared" si="64"/>
        <v>3067.88</v>
      </c>
      <c r="I158" s="77">
        <f>[119]好评返现对账!$B$129</f>
        <v>0</v>
      </c>
      <c r="J158" s="64">
        <f t="shared" si="65"/>
        <v>0</v>
      </c>
      <c r="K158" s="78"/>
    </row>
    <row r="159" customHeight="1" spans="1:11">
      <c r="A159" s="63">
        <v>43761</v>
      </c>
      <c r="B159" s="8" t="s">
        <v>31</v>
      </c>
      <c r="C159" s="8" t="s">
        <v>19</v>
      </c>
      <c r="D159" s="64">
        <f t="shared" si="63"/>
        <v>6565.8</v>
      </c>
      <c r="E159" s="6"/>
      <c r="F159" s="6"/>
      <c r="G159" s="65">
        <v>0</v>
      </c>
      <c r="H159" s="66">
        <f t="shared" si="64"/>
        <v>6565.8</v>
      </c>
      <c r="I159" s="77"/>
      <c r="J159" s="64">
        <f t="shared" si="65"/>
        <v>0</v>
      </c>
      <c r="K159" s="79"/>
    </row>
    <row r="160" customHeight="1" spans="1:11">
      <c r="A160" s="63">
        <v>43761</v>
      </c>
      <c r="B160" s="8" t="s">
        <v>18</v>
      </c>
      <c r="C160" s="8" t="s">
        <v>20</v>
      </c>
      <c r="D160" s="64">
        <f t="shared" si="63"/>
        <v>8552.2</v>
      </c>
      <c r="E160" s="6"/>
      <c r="F160" s="6"/>
      <c r="G160" s="65">
        <v>3631</v>
      </c>
      <c r="H160" s="66">
        <f t="shared" si="64"/>
        <v>4921.2</v>
      </c>
      <c r="I160" s="77">
        <f>[116]账单!$E$25</f>
        <v>3630.72</v>
      </c>
      <c r="J160" s="64">
        <f t="shared" si="65"/>
        <v>0.2800000000002</v>
      </c>
      <c r="K160" s="80"/>
    </row>
    <row r="161" customHeight="1" spans="1:11">
      <c r="A161" s="63">
        <v>43761</v>
      </c>
      <c r="B161" s="8" t="s">
        <v>18</v>
      </c>
      <c r="C161" s="8" t="s">
        <v>40</v>
      </c>
      <c r="D161" s="64">
        <f t="shared" si="63"/>
        <v>10422.64</v>
      </c>
      <c r="E161" s="6"/>
      <c r="F161" s="6"/>
      <c r="G161" s="65">
        <v>2074</v>
      </c>
      <c r="H161" s="66">
        <f t="shared" ref="H161:H163" si="66">D161+E161+F161-G161</f>
        <v>8348.64</v>
      </c>
      <c r="I161" s="77">
        <f>[115]账单!$E$25</f>
        <v>2074.14</v>
      </c>
      <c r="J161" s="64">
        <f t="shared" si="65"/>
        <v>-0.139999999999873</v>
      </c>
      <c r="K161" s="80"/>
    </row>
    <row r="162" customHeight="1" spans="1:11">
      <c r="A162" s="63">
        <v>43761</v>
      </c>
      <c r="B162" s="8"/>
      <c r="C162" s="8" t="s">
        <v>41</v>
      </c>
      <c r="D162" s="64">
        <f t="shared" si="63"/>
        <v>6434.61</v>
      </c>
      <c r="E162" s="6"/>
      <c r="F162" s="6"/>
      <c r="G162" s="65">
        <v>0</v>
      </c>
      <c r="H162" s="66">
        <f t="shared" si="66"/>
        <v>6434.61</v>
      </c>
      <c r="I162" s="77">
        <v>0</v>
      </c>
      <c r="J162" s="64">
        <f t="shared" si="65"/>
        <v>0</v>
      </c>
      <c r="K162" s="80"/>
    </row>
    <row r="163" customHeight="1" spans="1:11">
      <c r="A163" s="84">
        <v>43761</v>
      </c>
      <c r="B163" s="85" t="s">
        <v>82</v>
      </c>
      <c r="C163" s="85" t="s">
        <v>83</v>
      </c>
      <c r="D163" s="86">
        <f t="shared" si="63"/>
        <v>9882</v>
      </c>
      <c r="E163" s="87"/>
      <c r="F163" s="87"/>
      <c r="G163" s="88">
        <v>2316</v>
      </c>
      <c r="H163" s="89">
        <f t="shared" si="66"/>
        <v>7566</v>
      </c>
      <c r="I163" s="95">
        <f>[117]对账!$B$3</f>
        <v>2316</v>
      </c>
      <c r="J163" s="86">
        <f t="shared" si="65"/>
        <v>0</v>
      </c>
      <c r="K163" s="96"/>
    </row>
    <row r="164" customHeight="1" spans="1:11">
      <c r="A164" s="90" t="s">
        <v>0</v>
      </c>
      <c r="B164" s="91" t="s">
        <v>1</v>
      </c>
      <c r="C164" s="91" t="s">
        <v>2</v>
      </c>
      <c r="D164" s="92" t="s">
        <v>3</v>
      </c>
      <c r="E164" s="91" t="s">
        <v>4</v>
      </c>
      <c r="F164" s="91" t="s">
        <v>5</v>
      </c>
      <c r="G164" s="93" t="s">
        <v>6</v>
      </c>
      <c r="H164" s="94" t="s">
        <v>7</v>
      </c>
      <c r="I164" s="97" t="s">
        <v>8</v>
      </c>
      <c r="J164" s="92" t="s">
        <v>9</v>
      </c>
      <c r="K164" s="98" t="s">
        <v>10</v>
      </c>
    </row>
    <row r="165" customHeight="1" spans="1:11">
      <c r="A165" s="57">
        <v>43762</v>
      </c>
      <c r="B165" s="58" t="s">
        <v>11</v>
      </c>
      <c r="C165" s="58" t="s">
        <v>12</v>
      </c>
      <c r="D165" s="59">
        <f t="shared" ref="D165:D171" si="67">H157</f>
        <v>7052.42</v>
      </c>
      <c r="E165" s="60"/>
      <c r="F165" s="60"/>
      <c r="G165" s="61">
        <v>15</v>
      </c>
      <c r="H165" s="62">
        <f t="shared" ref="H165:H168" si="68">D165-G165+E165+F165</f>
        <v>7037.42</v>
      </c>
      <c r="I165" s="75">
        <f>[114]对账!$B$149</f>
        <v>398.95</v>
      </c>
      <c r="J165" s="59">
        <f t="shared" ref="J165:J171" si="69">G165-I165</f>
        <v>-383.95</v>
      </c>
      <c r="K165" s="83" t="s">
        <v>17</v>
      </c>
    </row>
    <row r="166" customHeight="1" spans="1:11">
      <c r="A166" s="63">
        <v>43762</v>
      </c>
      <c r="B166" s="8" t="s">
        <v>65</v>
      </c>
      <c r="C166" s="8" t="s">
        <v>16</v>
      </c>
      <c r="D166" s="64">
        <f t="shared" si="67"/>
        <v>3067.88</v>
      </c>
      <c r="E166" s="6"/>
      <c r="F166" s="6"/>
      <c r="G166" s="65">
        <v>109</v>
      </c>
      <c r="H166" s="66">
        <f t="shared" si="68"/>
        <v>2958.88</v>
      </c>
      <c r="I166" s="77">
        <f>[119]好评返现对账!$B$130</f>
        <v>50</v>
      </c>
      <c r="J166" s="64">
        <f t="shared" si="69"/>
        <v>59</v>
      </c>
      <c r="K166" s="78"/>
    </row>
    <row r="167" customHeight="1" spans="1:11">
      <c r="A167" s="63">
        <v>43762</v>
      </c>
      <c r="B167" s="8" t="s">
        <v>31</v>
      </c>
      <c r="C167" s="8" t="s">
        <v>19</v>
      </c>
      <c r="D167" s="64">
        <f t="shared" si="67"/>
        <v>6565.8</v>
      </c>
      <c r="E167" s="6">
        <v>10000</v>
      </c>
      <c r="F167" s="6"/>
      <c r="G167" s="65">
        <v>5419</v>
      </c>
      <c r="H167" s="66">
        <f t="shared" si="68"/>
        <v>11146.8</v>
      </c>
      <c r="I167" s="77">
        <f>[118]对账!$B$126</f>
        <v>5421.64</v>
      </c>
      <c r="J167" s="64">
        <f t="shared" si="69"/>
        <v>-2.64000000000033</v>
      </c>
      <c r="K167" s="79"/>
    </row>
    <row r="168" customHeight="1" spans="1:11">
      <c r="A168" s="63">
        <v>43762</v>
      </c>
      <c r="B168" s="8" t="s">
        <v>18</v>
      </c>
      <c r="C168" s="8" t="s">
        <v>20</v>
      </c>
      <c r="D168" s="64">
        <f t="shared" si="67"/>
        <v>4921.2</v>
      </c>
      <c r="E168" s="6"/>
      <c r="F168" s="6"/>
      <c r="G168" s="65">
        <v>4904</v>
      </c>
      <c r="H168" s="66">
        <f t="shared" si="68"/>
        <v>17.2000000000007</v>
      </c>
      <c r="I168" s="77">
        <f>[116]账单!$E$26</f>
        <v>4904.84</v>
      </c>
      <c r="J168" s="64">
        <f t="shared" si="69"/>
        <v>-0.840000000000146</v>
      </c>
      <c r="K168" s="80"/>
    </row>
    <row r="169" customHeight="1" spans="1:11">
      <c r="A169" s="63">
        <v>43762</v>
      </c>
      <c r="B169" s="8" t="s">
        <v>18</v>
      </c>
      <c r="C169" s="8" t="s">
        <v>40</v>
      </c>
      <c r="D169" s="64">
        <f t="shared" si="67"/>
        <v>8348.64</v>
      </c>
      <c r="E169" s="6"/>
      <c r="F169" s="6"/>
      <c r="G169" s="65">
        <v>1282</v>
      </c>
      <c r="H169" s="66">
        <f t="shared" ref="H169:H171" si="70">D169+E169+F169-G169</f>
        <v>7066.64</v>
      </c>
      <c r="I169" s="77">
        <f>[115]账单!$E$26</f>
        <v>1282</v>
      </c>
      <c r="J169" s="64">
        <f t="shared" si="69"/>
        <v>0</v>
      </c>
      <c r="K169" s="80"/>
    </row>
    <row r="170" customHeight="1" spans="1:11">
      <c r="A170" s="63">
        <v>43762</v>
      </c>
      <c r="B170" s="8"/>
      <c r="C170" s="8" t="s">
        <v>41</v>
      </c>
      <c r="D170" s="64">
        <f t="shared" si="67"/>
        <v>6434.61</v>
      </c>
      <c r="E170" s="6"/>
      <c r="F170" s="6"/>
      <c r="G170" s="65">
        <v>0</v>
      </c>
      <c r="H170" s="66">
        <f t="shared" si="70"/>
        <v>6434.61</v>
      </c>
      <c r="I170" s="77">
        <v>0</v>
      </c>
      <c r="J170" s="64">
        <f t="shared" si="69"/>
        <v>0</v>
      </c>
      <c r="K170" s="80"/>
    </row>
    <row r="171" customHeight="1" spans="1:11">
      <c r="A171" s="84">
        <v>43762</v>
      </c>
      <c r="B171" s="85" t="s">
        <v>82</v>
      </c>
      <c r="C171" s="85" t="s">
        <v>83</v>
      </c>
      <c r="D171" s="86">
        <f t="shared" si="67"/>
        <v>7566</v>
      </c>
      <c r="E171" s="87"/>
      <c r="F171" s="87"/>
      <c r="G171" s="88">
        <v>315</v>
      </c>
      <c r="H171" s="89">
        <f t="shared" si="70"/>
        <v>7251</v>
      </c>
      <c r="I171" s="95">
        <f>[117]对账!$B$4</f>
        <v>315</v>
      </c>
      <c r="J171" s="86">
        <f t="shared" si="69"/>
        <v>0</v>
      </c>
      <c r="K171" s="96"/>
    </row>
    <row r="172" customHeight="1" spans="1:11">
      <c r="A172" s="90" t="s">
        <v>0</v>
      </c>
      <c r="B172" s="91" t="s">
        <v>1</v>
      </c>
      <c r="C172" s="91" t="s">
        <v>2</v>
      </c>
      <c r="D172" s="92" t="s">
        <v>3</v>
      </c>
      <c r="E172" s="91" t="s">
        <v>4</v>
      </c>
      <c r="F172" s="91" t="s">
        <v>5</v>
      </c>
      <c r="G172" s="93" t="s">
        <v>6</v>
      </c>
      <c r="H172" s="94" t="s">
        <v>7</v>
      </c>
      <c r="I172" s="97" t="s">
        <v>8</v>
      </c>
      <c r="J172" s="92" t="s">
        <v>9</v>
      </c>
      <c r="K172" s="98" t="s">
        <v>10</v>
      </c>
    </row>
    <row r="173" customHeight="1" spans="1:11">
      <c r="A173" s="57">
        <v>43763</v>
      </c>
      <c r="B173" s="58" t="s">
        <v>11</v>
      </c>
      <c r="C173" s="58" t="s">
        <v>12</v>
      </c>
      <c r="D173" s="59">
        <f t="shared" ref="D173:D179" si="71">H165</f>
        <v>7037.42</v>
      </c>
      <c r="E173" s="60"/>
      <c r="F173" s="60"/>
      <c r="G173" s="61">
        <v>384</v>
      </c>
      <c r="H173" s="62">
        <f t="shared" ref="H173:H176" si="72">D173-G173+E173+F173</f>
        <v>6653.42</v>
      </c>
      <c r="I173" s="75">
        <v>0</v>
      </c>
      <c r="J173" s="59">
        <f t="shared" ref="J173:J179" si="73">G173-I173</f>
        <v>384</v>
      </c>
      <c r="K173" s="83" t="s">
        <v>17</v>
      </c>
    </row>
    <row r="174" customHeight="1" spans="1:11">
      <c r="A174" s="63">
        <v>43763</v>
      </c>
      <c r="B174" s="8" t="s">
        <v>65</v>
      </c>
      <c r="C174" s="8" t="s">
        <v>16</v>
      </c>
      <c r="D174" s="64">
        <f t="shared" si="71"/>
        <v>2958.88</v>
      </c>
      <c r="E174" s="6"/>
      <c r="F174" s="6"/>
      <c r="G174" s="65">
        <v>75</v>
      </c>
      <c r="H174" s="66">
        <f t="shared" si="72"/>
        <v>2883.88</v>
      </c>
      <c r="I174" s="77">
        <f>[119]好评返现对账!$B$131</f>
        <v>75</v>
      </c>
      <c r="J174" s="64">
        <f t="shared" si="73"/>
        <v>0</v>
      </c>
      <c r="K174" s="78"/>
    </row>
    <row r="175" customHeight="1" spans="1:11">
      <c r="A175" s="63">
        <v>43763</v>
      </c>
      <c r="B175" s="8" t="s">
        <v>31</v>
      </c>
      <c r="C175" s="8" t="s">
        <v>19</v>
      </c>
      <c r="D175" s="64">
        <f t="shared" si="71"/>
        <v>11146.8</v>
      </c>
      <c r="E175" s="6"/>
      <c r="F175" s="6"/>
      <c r="G175" s="65">
        <v>5100</v>
      </c>
      <c r="H175" s="66">
        <f t="shared" si="72"/>
        <v>6046.8</v>
      </c>
      <c r="I175" s="77">
        <f>[120]对账!$B$128</f>
        <v>4879</v>
      </c>
      <c r="J175" s="64">
        <f t="shared" si="73"/>
        <v>221</v>
      </c>
      <c r="K175" s="79" t="s">
        <v>72</v>
      </c>
    </row>
    <row r="176" customHeight="1" spans="1:11">
      <c r="A176" s="63">
        <v>43763</v>
      </c>
      <c r="B176" s="8" t="s">
        <v>18</v>
      </c>
      <c r="C176" s="8" t="s">
        <v>20</v>
      </c>
      <c r="D176" s="64">
        <f t="shared" si="71"/>
        <v>17.2000000000007</v>
      </c>
      <c r="E176" s="6">
        <v>10000</v>
      </c>
      <c r="F176" s="6"/>
      <c r="G176" s="65">
        <v>4147</v>
      </c>
      <c r="H176" s="66">
        <f t="shared" si="72"/>
        <v>5870.2</v>
      </c>
      <c r="I176" s="77">
        <f>[116]账单!$E$27</f>
        <v>4146.64</v>
      </c>
      <c r="J176" s="64">
        <f t="shared" si="73"/>
        <v>0.359999999999673</v>
      </c>
      <c r="K176" s="80"/>
    </row>
    <row r="177" customHeight="1" spans="1:11">
      <c r="A177" s="63">
        <v>43763</v>
      </c>
      <c r="B177" s="8" t="s">
        <v>18</v>
      </c>
      <c r="C177" s="8" t="s">
        <v>40</v>
      </c>
      <c r="D177" s="64">
        <f t="shared" si="71"/>
        <v>7066.64</v>
      </c>
      <c r="E177" s="6"/>
      <c r="F177" s="6">
        <v>58</v>
      </c>
      <c r="G177" s="65">
        <v>1938</v>
      </c>
      <c r="H177" s="66">
        <f t="shared" ref="H177:H179" si="74">D177+E177+F177-G177</f>
        <v>5186.64</v>
      </c>
      <c r="I177" s="77">
        <f>[115]账单!$E$27</f>
        <v>1878.82</v>
      </c>
      <c r="J177" s="64">
        <f t="shared" si="73"/>
        <v>59.1800000000001</v>
      </c>
      <c r="K177" s="80" t="s">
        <v>17</v>
      </c>
    </row>
    <row r="178" customHeight="1" spans="1:11">
      <c r="A178" s="63">
        <v>43763</v>
      </c>
      <c r="B178" s="8"/>
      <c r="C178" s="8" t="s">
        <v>41</v>
      </c>
      <c r="D178" s="64">
        <f t="shared" si="71"/>
        <v>6434.61</v>
      </c>
      <c r="E178" s="6"/>
      <c r="F178" s="6"/>
      <c r="G178" s="65">
        <v>0</v>
      </c>
      <c r="H178" s="66">
        <f t="shared" si="74"/>
        <v>6434.61</v>
      </c>
      <c r="I178" s="77">
        <v>0</v>
      </c>
      <c r="J178" s="64">
        <f t="shared" si="73"/>
        <v>0</v>
      </c>
      <c r="K178" s="80"/>
    </row>
    <row r="179" customHeight="1" spans="1:11">
      <c r="A179" s="84">
        <v>43763</v>
      </c>
      <c r="B179" s="85" t="s">
        <v>82</v>
      </c>
      <c r="C179" s="85" t="s">
        <v>83</v>
      </c>
      <c r="D179" s="86">
        <f t="shared" si="71"/>
        <v>7251</v>
      </c>
      <c r="E179" s="87"/>
      <c r="F179" s="87"/>
      <c r="G179" s="88">
        <v>448</v>
      </c>
      <c r="H179" s="89">
        <f t="shared" si="74"/>
        <v>6803</v>
      </c>
      <c r="I179" s="95">
        <f>[117]对账!$B$5</f>
        <v>408.8</v>
      </c>
      <c r="J179" s="86">
        <f t="shared" si="73"/>
        <v>39.2</v>
      </c>
      <c r="K179" s="96" t="s">
        <v>17</v>
      </c>
    </row>
    <row r="180" customHeight="1" spans="1:11">
      <c r="A180" s="90" t="s">
        <v>0</v>
      </c>
      <c r="B180" s="91" t="s">
        <v>1</v>
      </c>
      <c r="C180" s="91" t="s">
        <v>2</v>
      </c>
      <c r="D180" s="92" t="s">
        <v>3</v>
      </c>
      <c r="E180" s="91" t="s">
        <v>4</v>
      </c>
      <c r="F180" s="91" t="s">
        <v>5</v>
      </c>
      <c r="G180" s="93" t="s">
        <v>6</v>
      </c>
      <c r="H180" s="94" t="s">
        <v>7</v>
      </c>
      <c r="I180" s="97" t="s">
        <v>8</v>
      </c>
      <c r="J180" s="92" t="s">
        <v>9</v>
      </c>
      <c r="K180" s="98" t="s">
        <v>10</v>
      </c>
    </row>
    <row r="181" customHeight="1" spans="1:11">
      <c r="A181" s="57">
        <v>43764</v>
      </c>
      <c r="B181" s="58" t="s">
        <v>11</v>
      </c>
      <c r="C181" s="58" t="s">
        <v>12</v>
      </c>
      <c r="D181" s="59">
        <f t="shared" ref="D181:D187" si="75">H173</f>
        <v>6653.42</v>
      </c>
      <c r="E181" s="60"/>
      <c r="F181" s="60"/>
      <c r="G181" s="61">
        <v>363</v>
      </c>
      <c r="H181" s="62">
        <f t="shared" ref="H181:H184" si="76">D181-G181+E181+F181</f>
        <v>6290.42</v>
      </c>
      <c r="I181" s="75">
        <f>[114]对账!$B$151</f>
        <v>363.46</v>
      </c>
      <c r="J181" s="59">
        <f t="shared" ref="J181:J187" si="77">G181-I181</f>
        <v>-0.45999999999998</v>
      </c>
      <c r="K181" s="83"/>
    </row>
    <row r="182" customHeight="1" spans="1:11">
      <c r="A182" s="63">
        <v>43764</v>
      </c>
      <c r="B182" s="8" t="s">
        <v>65</v>
      </c>
      <c r="C182" s="8" t="s">
        <v>16</v>
      </c>
      <c r="D182" s="64">
        <f t="shared" si="75"/>
        <v>2883.88</v>
      </c>
      <c r="E182" s="6"/>
      <c r="F182" s="6"/>
      <c r="G182" s="65">
        <v>311</v>
      </c>
      <c r="H182" s="66">
        <f t="shared" si="76"/>
        <v>2572.88</v>
      </c>
      <c r="I182" s="77">
        <f>[119]好评返现对账!$B$132</f>
        <v>311</v>
      </c>
      <c r="J182" s="64">
        <f t="shared" si="77"/>
        <v>0</v>
      </c>
      <c r="K182" s="78"/>
    </row>
    <row r="183" customHeight="1" spans="1:11">
      <c r="A183" s="63">
        <v>43764</v>
      </c>
      <c r="B183" s="8" t="s">
        <v>31</v>
      </c>
      <c r="C183" s="8" t="s">
        <v>19</v>
      </c>
      <c r="D183" s="64">
        <f t="shared" si="75"/>
        <v>6046.8</v>
      </c>
      <c r="E183" s="6"/>
      <c r="F183" s="6">
        <v>59</v>
      </c>
      <c r="G183" s="65">
        <v>4851</v>
      </c>
      <c r="H183" s="66">
        <f t="shared" si="76"/>
        <v>1254.8</v>
      </c>
      <c r="I183" s="77">
        <f>[120]对账!$B$129</f>
        <v>4766.6</v>
      </c>
      <c r="J183" s="64">
        <f t="shared" si="77"/>
        <v>84.3999999999996</v>
      </c>
      <c r="K183" s="79" t="s">
        <v>72</v>
      </c>
    </row>
    <row r="184" customHeight="1" spans="1:11">
      <c r="A184" s="63">
        <v>43764</v>
      </c>
      <c r="B184" s="8" t="s">
        <v>18</v>
      </c>
      <c r="C184" s="8" t="s">
        <v>20</v>
      </c>
      <c r="D184" s="64">
        <f t="shared" si="75"/>
        <v>5870.2</v>
      </c>
      <c r="E184" s="6"/>
      <c r="F184" s="6"/>
      <c r="G184" s="65">
        <f>3198-48</f>
        <v>3150</v>
      </c>
      <c r="H184" s="66">
        <f t="shared" si="76"/>
        <v>2720.2</v>
      </c>
      <c r="I184" s="77">
        <f>[116]账单!$E$28</f>
        <v>3197.56</v>
      </c>
      <c r="J184" s="64">
        <f t="shared" si="77"/>
        <v>-47.5599999999999</v>
      </c>
      <c r="K184" s="80" t="s">
        <v>84</v>
      </c>
    </row>
    <row r="185" customHeight="1" spans="1:11">
      <c r="A185" s="63">
        <v>43764</v>
      </c>
      <c r="B185" s="8" t="s">
        <v>18</v>
      </c>
      <c r="C185" s="8" t="s">
        <v>40</v>
      </c>
      <c r="D185" s="64">
        <f t="shared" si="75"/>
        <v>5186.64</v>
      </c>
      <c r="E185" s="6"/>
      <c r="F185" s="6"/>
      <c r="G185" s="65">
        <v>1623</v>
      </c>
      <c r="H185" s="66">
        <f t="shared" ref="H185:H187" si="78">D185+E185+F185-G185</f>
        <v>3563.64</v>
      </c>
      <c r="I185" s="77">
        <f>[115]账单!$E$28</f>
        <v>1569</v>
      </c>
      <c r="J185" s="64">
        <f t="shared" si="77"/>
        <v>54</v>
      </c>
      <c r="K185" s="80" t="s">
        <v>17</v>
      </c>
    </row>
    <row r="186" customHeight="1" spans="1:11">
      <c r="A186" s="63">
        <v>43764</v>
      </c>
      <c r="B186" s="8"/>
      <c r="C186" s="8" t="s">
        <v>41</v>
      </c>
      <c r="D186" s="64">
        <f t="shared" si="75"/>
        <v>6434.61</v>
      </c>
      <c r="E186" s="6"/>
      <c r="F186" s="6"/>
      <c r="G186" s="65">
        <v>0</v>
      </c>
      <c r="H186" s="66">
        <f t="shared" si="78"/>
        <v>6434.61</v>
      </c>
      <c r="I186" s="77">
        <v>0</v>
      </c>
      <c r="J186" s="64">
        <f t="shared" si="77"/>
        <v>0</v>
      </c>
      <c r="K186" s="80"/>
    </row>
    <row r="187" customHeight="1" spans="1:11">
      <c r="A187" s="84">
        <v>43764</v>
      </c>
      <c r="B187" s="85" t="s">
        <v>82</v>
      </c>
      <c r="C187" s="85" t="s">
        <v>83</v>
      </c>
      <c r="D187" s="86">
        <f t="shared" si="75"/>
        <v>6803</v>
      </c>
      <c r="E187" s="87"/>
      <c r="F187" s="87"/>
      <c r="G187" s="88">
        <v>954</v>
      </c>
      <c r="H187" s="89">
        <f t="shared" si="78"/>
        <v>5849</v>
      </c>
      <c r="I187" s="95">
        <f>[117]对账!$B$6</f>
        <v>993</v>
      </c>
      <c r="J187" s="86">
        <f t="shared" si="77"/>
        <v>-39</v>
      </c>
      <c r="K187" s="96" t="s">
        <v>17</v>
      </c>
    </row>
    <row r="188" customHeight="1" spans="1:11">
      <c r="A188" s="90" t="s">
        <v>0</v>
      </c>
      <c r="B188" s="91" t="s">
        <v>1</v>
      </c>
      <c r="C188" s="91" t="s">
        <v>2</v>
      </c>
      <c r="D188" s="92" t="s">
        <v>3</v>
      </c>
      <c r="E188" s="91" t="s">
        <v>4</v>
      </c>
      <c r="F188" s="91" t="s">
        <v>5</v>
      </c>
      <c r="G188" s="93" t="s">
        <v>6</v>
      </c>
      <c r="H188" s="94" t="s">
        <v>7</v>
      </c>
      <c r="I188" s="97" t="s">
        <v>8</v>
      </c>
      <c r="J188" s="92" t="s">
        <v>9</v>
      </c>
      <c r="K188" s="98" t="s">
        <v>10</v>
      </c>
    </row>
    <row r="189" customHeight="1" spans="1:11">
      <c r="A189" s="57">
        <v>43765</v>
      </c>
      <c r="B189" s="58" t="s">
        <v>11</v>
      </c>
      <c r="C189" s="58" t="s">
        <v>12</v>
      </c>
      <c r="D189" s="59">
        <f t="shared" ref="D189:D195" si="79">H181</f>
        <v>6290.42</v>
      </c>
      <c r="E189" s="60"/>
      <c r="F189" s="60"/>
      <c r="G189" s="61">
        <v>196</v>
      </c>
      <c r="H189" s="62">
        <f t="shared" ref="H189:H192" si="80">D189-G189+E189+F189</f>
        <v>6094.42</v>
      </c>
      <c r="I189" s="75">
        <f>[114]对账!$B$152</f>
        <v>196</v>
      </c>
      <c r="J189" s="59">
        <f t="shared" ref="J189:J195" si="81">G189-I189</f>
        <v>0</v>
      </c>
      <c r="K189" s="83"/>
    </row>
    <row r="190" customHeight="1" spans="1:11">
      <c r="A190" s="63">
        <v>43765</v>
      </c>
      <c r="B190" s="8" t="s">
        <v>65</v>
      </c>
      <c r="C190" s="8" t="s">
        <v>16</v>
      </c>
      <c r="D190" s="64">
        <f t="shared" si="79"/>
        <v>2572.88</v>
      </c>
      <c r="E190" s="6"/>
      <c r="F190" s="6"/>
      <c r="G190" s="65">
        <v>30</v>
      </c>
      <c r="H190" s="66">
        <f t="shared" si="80"/>
        <v>2542.88</v>
      </c>
      <c r="I190" s="77">
        <f>[125]好评返现对账!$B$133</f>
        <v>30</v>
      </c>
      <c r="J190" s="64">
        <f t="shared" si="81"/>
        <v>0</v>
      </c>
      <c r="K190" s="78"/>
    </row>
    <row r="191" customHeight="1" spans="1:11">
      <c r="A191" s="63">
        <v>43765</v>
      </c>
      <c r="B191" s="8" t="s">
        <v>31</v>
      </c>
      <c r="C191" s="8" t="s">
        <v>19</v>
      </c>
      <c r="D191" s="64">
        <f t="shared" si="79"/>
        <v>1254.8</v>
      </c>
      <c r="E191" s="6">
        <v>10000</v>
      </c>
      <c r="F191" s="6"/>
      <c r="G191" s="65">
        <v>3917</v>
      </c>
      <c r="H191" s="66">
        <f t="shared" si="80"/>
        <v>7337.8</v>
      </c>
      <c r="I191" s="77">
        <f>[120]对账!$B$130</f>
        <v>3897</v>
      </c>
      <c r="J191" s="64">
        <f t="shared" si="81"/>
        <v>20</v>
      </c>
      <c r="K191" s="79" t="s">
        <v>72</v>
      </c>
    </row>
    <row r="192" customHeight="1" spans="1:11">
      <c r="A192" s="63">
        <v>43765</v>
      </c>
      <c r="B192" s="8" t="s">
        <v>18</v>
      </c>
      <c r="C192" s="8" t="s">
        <v>20</v>
      </c>
      <c r="D192" s="64">
        <f t="shared" si="79"/>
        <v>2720.2</v>
      </c>
      <c r="E192" s="6">
        <v>10000</v>
      </c>
      <c r="F192" s="6"/>
      <c r="G192" s="65">
        <v>851</v>
      </c>
      <c r="H192" s="66">
        <f t="shared" si="80"/>
        <v>11869.2</v>
      </c>
      <c r="I192" s="77">
        <f>[116]账单!$E$29</f>
        <v>851</v>
      </c>
      <c r="J192" s="64">
        <f t="shared" si="81"/>
        <v>0</v>
      </c>
      <c r="K192" s="80"/>
    </row>
    <row r="193" customHeight="1" spans="1:11">
      <c r="A193" s="63">
        <v>43765</v>
      </c>
      <c r="B193" s="8" t="s">
        <v>18</v>
      </c>
      <c r="C193" s="8" t="s">
        <v>40</v>
      </c>
      <c r="D193" s="64">
        <f t="shared" si="79"/>
        <v>3563.64</v>
      </c>
      <c r="E193" s="6">
        <v>10000</v>
      </c>
      <c r="F193" s="6"/>
      <c r="G193" s="65">
        <v>3126</v>
      </c>
      <c r="H193" s="66">
        <f t="shared" ref="H193:H195" si="82">D193+E193+F193-G193</f>
        <v>10437.64</v>
      </c>
      <c r="I193" s="77">
        <f>[115]账单!$E$29</f>
        <v>3120.23</v>
      </c>
      <c r="J193" s="64">
        <f t="shared" si="81"/>
        <v>5.76999999999998</v>
      </c>
      <c r="K193" s="80"/>
    </row>
    <row r="194" customHeight="1" spans="1:11">
      <c r="A194" s="63">
        <v>43765</v>
      </c>
      <c r="B194" s="8"/>
      <c r="C194" s="8" t="s">
        <v>41</v>
      </c>
      <c r="D194" s="64">
        <f t="shared" si="79"/>
        <v>6434.61</v>
      </c>
      <c r="E194" s="6"/>
      <c r="F194" s="6"/>
      <c r="G194" s="65">
        <v>0</v>
      </c>
      <c r="H194" s="66">
        <f t="shared" si="82"/>
        <v>6434.61</v>
      </c>
      <c r="I194" s="77">
        <v>0</v>
      </c>
      <c r="J194" s="64">
        <f t="shared" si="81"/>
        <v>0</v>
      </c>
      <c r="K194" s="80"/>
    </row>
    <row r="195" customHeight="1" spans="1:11">
      <c r="A195" s="67">
        <v>43765</v>
      </c>
      <c r="B195" s="68" t="s">
        <v>82</v>
      </c>
      <c r="C195" s="68" t="s">
        <v>83</v>
      </c>
      <c r="D195" s="69">
        <f t="shared" si="79"/>
        <v>5849</v>
      </c>
      <c r="E195" s="70"/>
      <c r="F195" s="70"/>
      <c r="G195" s="71">
        <v>2990</v>
      </c>
      <c r="H195" s="72">
        <f t="shared" si="82"/>
        <v>2859</v>
      </c>
      <c r="I195" s="81">
        <f>[117]对账!$B$7</f>
        <v>3043.9</v>
      </c>
      <c r="J195" s="69">
        <f t="shared" si="81"/>
        <v>-53.9000000000001</v>
      </c>
      <c r="K195" s="82" t="s">
        <v>17</v>
      </c>
    </row>
    <row r="196" customHeight="1" spans="1:11">
      <c r="A196" s="90" t="s">
        <v>0</v>
      </c>
      <c r="B196" s="91" t="s">
        <v>1</v>
      </c>
      <c r="C196" s="91" t="s">
        <v>2</v>
      </c>
      <c r="D196" s="92" t="s">
        <v>3</v>
      </c>
      <c r="E196" s="91" t="s">
        <v>4</v>
      </c>
      <c r="F196" s="91" t="s">
        <v>5</v>
      </c>
      <c r="G196" s="93" t="s">
        <v>6</v>
      </c>
      <c r="H196" s="94" t="s">
        <v>7</v>
      </c>
      <c r="I196" s="97" t="s">
        <v>8</v>
      </c>
      <c r="J196" s="92" t="s">
        <v>9</v>
      </c>
      <c r="K196" s="98" t="s">
        <v>10</v>
      </c>
    </row>
    <row r="197" customHeight="1" spans="1:11">
      <c r="A197" s="57">
        <v>43766</v>
      </c>
      <c r="B197" s="58" t="s">
        <v>11</v>
      </c>
      <c r="C197" s="58" t="s">
        <v>12</v>
      </c>
      <c r="D197" s="59">
        <f t="shared" ref="D197:D203" si="83">H189</f>
        <v>6094.42</v>
      </c>
      <c r="E197" s="60"/>
      <c r="F197" s="60"/>
      <c r="G197" s="61">
        <v>79</v>
      </c>
      <c r="H197" s="62">
        <f t="shared" ref="H197:H200" si="84">D197-G197+E197+F197</f>
        <v>6015.42</v>
      </c>
      <c r="I197" s="75">
        <f>[121]对账!$B$153</f>
        <v>79</v>
      </c>
      <c r="J197" s="59">
        <f t="shared" ref="J197:J203" si="85">G197-I197</f>
        <v>0</v>
      </c>
      <c r="K197" s="83"/>
    </row>
    <row r="198" customHeight="1" spans="1:11">
      <c r="A198" s="63">
        <v>43766</v>
      </c>
      <c r="B198" s="8" t="s">
        <v>65</v>
      </c>
      <c r="C198" s="8" t="s">
        <v>16</v>
      </c>
      <c r="D198" s="64">
        <f t="shared" si="83"/>
        <v>2542.88</v>
      </c>
      <c r="E198" s="6"/>
      <c r="F198" s="6"/>
      <c r="G198" s="65">
        <v>35</v>
      </c>
      <c r="H198" s="66">
        <f t="shared" si="84"/>
        <v>2507.88</v>
      </c>
      <c r="I198" s="77">
        <f>[125]好评返现对账!$B$134</f>
        <v>35</v>
      </c>
      <c r="J198" s="64">
        <f t="shared" si="85"/>
        <v>0</v>
      </c>
      <c r="K198" s="78"/>
    </row>
    <row r="199" customHeight="1" spans="1:11">
      <c r="A199" s="63">
        <v>43766</v>
      </c>
      <c r="B199" s="8" t="s">
        <v>31</v>
      </c>
      <c r="C199" s="8" t="s">
        <v>19</v>
      </c>
      <c r="D199" s="64">
        <f t="shared" si="83"/>
        <v>7337.8</v>
      </c>
      <c r="E199" s="6">
        <v>10000</v>
      </c>
      <c r="F199" s="6"/>
      <c r="G199" s="65">
        <v>4073</v>
      </c>
      <c r="H199" s="66">
        <f t="shared" si="84"/>
        <v>13264.8</v>
      </c>
      <c r="I199" s="77">
        <f>[124]对账!$B$131</f>
        <v>4053.52</v>
      </c>
      <c r="J199" s="64">
        <f t="shared" si="85"/>
        <v>19.48</v>
      </c>
      <c r="K199" s="79"/>
    </row>
    <row r="200" customHeight="1" spans="1:11">
      <c r="A200" s="63">
        <v>43766</v>
      </c>
      <c r="B200" s="8" t="s">
        <v>18</v>
      </c>
      <c r="C200" s="8" t="s">
        <v>20</v>
      </c>
      <c r="D200" s="64">
        <f t="shared" si="83"/>
        <v>11869.2</v>
      </c>
      <c r="E200" s="6"/>
      <c r="F200" s="6"/>
      <c r="G200" s="65">
        <f>2494+12</f>
        <v>2506</v>
      </c>
      <c r="H200" s="66">
        <f t="shared" si="84"/>
        <v>9363.2</v>
      </c>
      <c r="I200" s="77">
        <f>[122]账单!$E$30</f>
        <v>2493.82</v>
      </c>
      <c r="J200" s="64">
        <f t="shared" si="85"/>
        <v>12.1799999999998</v>
      </c>
      <c r="K200" s="80"/>
    </row>
    <row r="201" customHeight="1" spans="1:11">
      <c r="A201" s="63">
        <v>43766</v>
      </c>
      <c r="B201" s="8" t="s">
        <v>18</v>
      </c>
      <c r="C201" s="8" t="s">
        <v>40</v>
      </c>
      <c r="D201" s="64">
        <f t="shared" si="83"/>
        <v>10437.64</v>
      </c>
      <c r="E201" s="6"/>
      <c r="F201" s="6"/>
      <c r="G201" s="65">
        <v>2297</v>
      </c>
      <c r="H201" s="66">
        <f t="shared" ref="H201:H203" si="86">D201+E201+F201-G201</f>
        <v>8140.64</v>
      </c>
      <c r="I201" s="77">
        <f>[123]账单!$E$30</f>
        <v>2296.84</v>
      </c>
      <c r="J201" s="64">
        <f t="shared" si="85"/>
        <v>0.159999999999854</v>
      </c>
      <c r="K201" s="80"/>
    </row>
    <row r="202" customHeight="1" spans="1:11">
      <c r="A202" s="63">
        <v>43766</v>
      </c>
      <c r="B202" s="8"/>
      <c r="C202" s="8" t="s">
        <v>41</v>
      </c>
      <c r="D202" s="64">
        <f t="shared" si="83"/>
        <v>6434.61</v>
      </c>
      <c r="E202" s="6"/>
      <c r="F202" s="6"/>
      <c r="G202" s="65">
        <v>0</v>
      </c>
      <c r="H202" s="66">
        <f t="shared" si="86"/>
        <v>6434.61</v>
      </c>
      <c r="I202" s="77">
        <v>0</v>
      </c>
      <c r="J202" s="64">
        <f t="shared" si="85"/>
        <v>0</v>
      </c>
      <c r="K202" s="80"/>
    </row>
    <row r="203" customHeight="1" spans="1:11">
      <c r="A203" s="67">
        <v>43766</v>
      </c>
      <c r="B203" s="68" t="s">
        <v>82</v>
      </c>
      <c r="C203" s="68" t="s">
        <v>83</v>
      </c>
      <c r="D203" s="69">
        <f t="shared" si="83"/>
        <v>2859</v>
      </c>
      <c r="E203" s="70"/>
      <c r="F203" s="70">
        <v>4.82</v>
      </c>
      <c r="G203" s="71">
        <v>2842</v>
      </c>
      <c r="H203" s="72">
        <f t="shared" si="86"/>
        <v>21.8200000000002</v>
      </c>
      <c r="I203" s="81">
        <f>[126]对账!$B$8</f>
        <v>2781.92</v>
      </c>
      <c r="J203" s="69">
        <f t="shared" si="85"/>
        <v>60.0799999999999</v>
      </c>
      <c r="K203" s="82"/>
    </row>
    <row r="204" customHeight="1" spans="1:11">
      <c r="A204" s="90" t="s">
        <v>0</v>
      </c>
      <c r="B204" s="91" t="s">
        <v>1</v>
      </c>
      <c r="C204" s="91" t="s">
        <v>2</v>
      </c>
      <c r="D204" s="92" t="s">
        <v>3</v>
      </c>
      <c r="E204" s="91" t="s">
        <v>4</v>
      </c>
      <c r="F204" s="91" t="s">
        <v>5</v>
      </c>
      <c r="G204" s="93" t="s">
        <v>6</v>
      </c>
      <c r="H204" s="94" t="s">
        <v>7</v>
      </c>
      <c r="I204" s="97" t="s">
        <v>8</v>
      </c>
      <c r="J204" s="92" t="s">
        <v>9</v>
      </c>
      <c r="K204" s="98" t="s">
        <v>10</v>
      </c>
    </row>
    <row r="205" customHeight="1" spans="1:11">
      <c r="A205" s="57">
        <v>43767</v>
      </c>
      <c r="B205" s="58" t="s">
        <v>11</v>
      </c>
      <c r="C205" s="58" t="s">
        <v>12</v>
      </c>
      <c r="D205" s="59">
        <f t="shared" ref="D205:D211" si="87">H197</f>
        <v>6015.42</v>
      </c>
      <c r="E205" s="60"/>
      <c r="F205" s="60"/>
      <c r="G205" s="61">
        <v>134</v>
      </c>
      <c r="H205" s="62">
        <f t="shared" ref="H205:H208" si="88">D205-G205+E205+F205</f>
        <v>5881.42</v>
      </c>
      <c r="I205" s="75">
        <f>[121]对账!$B$154</f>
        <v>212</v>
      </c>
      <c r="J205" s="59">
        <f t="shared" ref="J205:J211" si="89">G205-I205</f>
        <v>-78</v>
      </c>
      <c r="K205" s="83" t="s">
        <v>17</v>
      </c>
    </row>
    <row r="206" customHeight="1" spans="1:11">
      <c r="A206" s="63">
        <v>43767</v>
      </c>
      <c r="B206" s="8" t="s">
        <v>65</v>
      </c>
      <c r="C206" s="8" t="s">
        <v>16</v>
      </c>
      <c r="D206" s="64">
        <f t="shared" si="87"/>
        <v>2507.88</v>
      </c>
      <c r="E206" s="6"/>
      <c r="F206" s="6"/>
      <c r="G206" s="65">
        <v>447</v>
      </c>
      <c r="H206" s="66">
        <f t="shared" si="88"/>
        <v>2060.88</v>
      </c>
      <c r="I206" s="77">
        <f>[125]好评返现对账!$B$135</f>
        <v>447</v>
      </c>
      <c r="J206" s="64">
        <f t="shared" si="89"/>
        <v>0</v>
      </c>
      <c r="K206" s="78"/>
    </row>
    <row r="207" customHeight="1" spans="1:11">
      <c r="A207" s="63">
        <v>43767</v>
      </c>
      <c r="B207" s="8" t="s">
        <v>31</v>
      </c>
      <c r="C207" s="8" t="s">
        <v>19</v>
      </c>
      <c r="D207" s="64">
        <f t="shared" si="87"/>
        <v>13264.8</v>
      </c>
      <c r="E207" s="6"/>
      <c r="F207" s="6"/>
      <c r="G207" s="65">
        <v>3917</v>
      </c>
      <c r="H207" s="66">
        <f t="shared" si="88"/>
        <v>9347.8</v>
      </c>
      <c r="I207" s="77">
        <f>[124]对账!$B$132</f>
        <v>4205.82</v>
      </c>
      <c r="J207" s="64">
        <f t="shared" si="89"/>
        <v>-288.82</v>
      </c>
      <c r="K207" s="79" t="s">
        <v>17</v>
      </c>
    </row>
    <row r="208" customHeight="1" spans="1:11">
      <c r="A208" s="63">
        <v>43767</v>
      </c>
      <c r="B208" s="8" t="s">
        <v>18</v>
      </c>
      <c r="C208" s="8" t="s">
        <v>20</v>
      </c>
      <c r="D208" s="64">
        <f t="shared" si="87"/>
        <v>9363.2</v>
      </c>
      <c r="E208" s="6"/>
      <c r="F208" s="6"/>
      <c r="G208" s="65">
        <v>2585</v>
      </c>
      <c r="H208" s="66">
        <f t="shared" si="88"/>
        <v>6778.2</v>
      </c>
      <c r="I208" s="77">
        <f>[122]账单!$E$31</f>
        <v>2585.64</v>
      </c>
      <c r="J208" s="64">
        <f t="shared" si="89"/>
        <v>-0.639999999999873</v>
      </c>
      <c r="K208" s="80"/>
    </row>
    <row r="209" customHeight="1" spans="1:11">
      <c r="A209" s="63">
        <v>43767</v>
      </c>
      <c r="B209" s="8" t="s">
        <v>18</v>
      </c>
      <c r="C209" s="8" t="s">
        <v>40</v>
      </c>
      <c r="D209" s="64">
        <f t="shared" si="87"/>
        <v>8140.64</v>
      </c>
      <c r="E209" s="6"/>
      <c r="F209" s="6"/>
      <c r="G209" s="65">
        <v>2455</v>
      </c>
      <c r="H209" s="66">
        <f t="shared" ref="H209:H211" si="90">D209+E209+F209-G209</f>
        <v>5685.64</v>
      </c>
      <c r="I209" s="77">
        <f>[123]账单!$E$31</f>
        <v>2460.58</v>
      </c>
      <c r="J209" s="64">
        <f t="shared" si="89"/>
        <v>-5.57999999999993</v>
      </c>
      <c r="K209" s="80"/>
    </row>
    <row r="210" customHeight="1" spans="1:11">
      <c r="A210" s="63">
        <v>43767</v>
      </c>
      <c r="B210" s="8"/>
      <c r="C210" s="8" t="s">
        <v>41</v>
      </c>
      <c r="D210" s="64">
        <f t="shared" si="87"/>
        <v>6434.61</v>
      </c>
      <c r="E210" s="6"/>
      <c r="F210" s="6"/>
      <c r="G210" s="65">
        <v>0</v>
      </c>
      <c r="H210" s="66">
        <f t="shared" si="90"/>
        <v>6434.61</v>
      </c>
      <c r="I210" s="77">
        <v>0</v>
      </c>
      <c r="J210" s="64">
        <f t="shared" si="89"/>
        <v>0</v>
      </c>
      <c r="K210" s="80"/>
    </row>
    <row r="211" customHeight="1" spans="1:11">
      <c r="A211" s="67">
        <v>43767</v>
      </c>
      <c r="B211" s="68" t="s">
        <v>82</v>
      </c>
      <c r="C211" s="68" t="s">
        <v>83</v>
      </c>
      <c r="D211" s="69">
        <f t="shared" si="87"/>
        <v>21.8200000000002</v>
      </c>
      <c r="E211" s="70">
        <v>10000</v>
      </c>
      <c r="F211" s="70">
        <v>70</v>
      </c>
      <c r="G211" s="71">
        <v>2645</v>
      </c>
      <c r="H211" s="72">
        <f t="shared" si="90"/>
        <v>7446.82</v>
      </c>
      <c r="I211" s="81">
        <f>[126]对账!$B$9</f>
        <v>2720.74</v>
      </c>
      <c r="J211" s="69">
        <f t="shared" si="89"/>
        <v>-75.7399999999998</v>
      </c>
      <c r="K211" s="82" t="s">
        <v>17</v>
      </c>
    </row>
    <row r="212" customHeight="1" spans="1:11">
      <c r="A212" s="90" t="s">
        <v>0</v>
      </c>
      <c r="B212" s="91" t="s">
        <v>1</v>
      </c>
      <c r="C212" s="91" t="s">
        <v>2</v>
      </c>
      <c r="D212" s="92" t="s">
        <v>3</v>
      </c>
      <c r="E212" s="91" t="s">
        <v>4</v>
      </c>
      <c r="F212" s="91" t="s">
        <v>5</v>
      </c>
      <c r="G212" s="93" t="s">
        <v>6</v>
      </c>
      <c r="H212" s="94" t="s">
        <v>7</v>
      </c>
      <c r="I212" s="97" t="s">
        <v>8</v>
      </c>
      <c r="J212" s="92" t="s">
        <v>9</v>
      </c>
      <c r="K212" s="98" t="s">
        <v>10</v>
      </c>
    </row>
    <row r="213" customHeight="1" spans="1:11">
      <c r="A213" s="57">
        <v>43768</v>
      </c>
      <c r="B213" s="58" t="s">
        <v>11</v>
      </c>
      <c r="C213" s="58" t="s">
        <v>12</v>
      </c>
      <c r="D213" s="59">
        <f t="shared" ref="D213:D219" si="91">H205</f>
        <v>5881.42</v>
      </c>
      <c r="E213" s="60"/>
      <c r="F213" s="60"/>
      <c r="G213" s="61">
        <v>438</v>
      </c>
      <c r="H213" s="62">
        <f t="shared" ref="H213:H216" si="92">D213-G213+E213+F213</f>
        <v>5443.42</v>
      </c>
      <c r="I213" s="75">
        <f>[121]对账!$B$155</f>
        <v>354.9</v>
      </c>
      <c r="J213" s="59">
        <f t="shared" ref="J213:J219" si="93">G213-I213</f>
        <v>83.1</v>
      </c>
      <c r="K213" s="83" t="s">
        <v>17</v>
      </c>
    </row>
    <row r="214" customHeight="1" spans="1:11">
      <c r="A214" s="63">
        <v>43768</v>
      </c>
      <c r="B214" s="8" t="s">
        <v>65</v>
      </c>
      <c r="C214" s="8" t="s">
        <v>16</v>
      </c>
      <c r="D214" s="64">
        <f t="shared" si="91"/>
        <v>2060.88</v>
      </c>
      <c r="E214" s="6"/>
      <c r="F214" s="6"/>
      <c r="G214" s="65">
        <v>133</v>
      </c>
      <c r="H214" s="66">
        <f t="shared" si="92"/>
        <v>1927.88</v>
      </c>
      <c r="I214" s="77">
        <f>[125]好评返现对账!$B$136</f>
        <v>133</v>
      </c>
      <c r="J214" s="64">
        <f t="shared" si="93"/>
        <v>0</v>
      </c>
      <c r="K214" s="78"/>
    </row>
    <row r="215" customHeight="1" spans="1:11">
      <c r="A215" s="63">
        <v>43768</v>
      </c>
      <c r="B215" s="8" t="s">
        <v>31</v>
      </c>
      <c r="C215" s="8" t="s">
        <v>19</v>
      </c>
      <c r="D215" s="64">
        <f t="shared" si="91"/>
        <v>9347.8</v>
      </c>
      <c r="E215" s="6"/>
      <c r="F215" s="6"/>
      <c r="G215" s="65">
        <v>4646</v>
      </c>
      <c r="H215" s="66">
        <f t="shared" si="92"/>
        <v>4701.8</v>
      </c>
      <c r="I215" s="77">
        <f>[124]对账!$B$133</f>
        <v>4403.8</v>
      </c>
      <c r="J215" s="64">
        <f t="shared" si="93"/>
        <v>242.2</v>
      </c>
      <c r="K215" s="79" t="s">
        <v>17</v>
      </c>
    </row>
    <row r="216" customHeight="1" spans="1:11">
      <c r="A216" s="63">
        <v>43768</v>
      </c>
      <c r="B216" s="8" t="s">
        <v>18</v>
      </c>
      <c r="C216" s="8" t="s">
        <v>20</v>
      </c>
      <c r="D216" s="64">
        <f t="shared" si="91"/>
        <v>6778.2</v>
      </c>
      <c r="E216" s="6"/>
      <c r="F216" s="6"/>
      <c r="G216" s="65">
        <v>559</v>
      </c>
      <c r="H216" s="66">
        <f t="shared" si="92"/>
        <v>6219.2</v>
      </c>
      <c r="I216" s="77">
        <f>[128]账单!$E$32</f>
        <v>559</v>
      </c>
      <c r="J216" s="64">
        <f t="shared" si="93"/>
        <v>0</v>
      </c>
      <c r="K216" s="80"/>
    </row>
    <row r="217" customHeight="1" spans="1:11">
      <c r="A217" s="63">
        <v>43768</v>
      </c>
      <c r="B217" s="8" t="s">
        <v>18</v>
      </c>
      <c r="C217" s="8" t="s">
        <v>40</v>
      </c>
      <c r="D217" s="64">
        <f t="shared" si="91"/>
        <v>5685.64</v>
      </c>
      <c r="E217" s="6"/>
      <c r="F217" s="6"/>
      <c r="G217" s="65">
        <v>4498</v>
      </c>
      <c r="H217" s="66">
        <f t="shared" ref="H217:H219" si="94">D217+E217+F217-G217</f>
        <v>1187.64</v>
      </c>
      <c r="I217" s="77">
        <f>[127]账单!$E$32</f>
        <v>4497.64</v>
      </c>
      <c r="J217" s="64">
        <f t="shared" si="93"/>
        <v>0.359999999999673</v>
      </c>
      <c r="K217" s="80"/>
    </row>
    <row r="218" customHeight="1" spans="1:11">
      <c r="A218" s="63">
        <v>43768</v>
      </c>
      <c r="B218" s="8"/>
      <c r="C218" s="8" t="s">
        <v>41</v>
      </c>
      <c r="D218" s="64">
        <f t="shared" si="91"/>
        <v>6434.61</v>
      </c>
      <c r="E218" s="6"/>
      <c r="F218" s="6"/>
      <c r="G218" s="65">
        <v>0</v>
      </c>
      <c r="H218" s="66">
        <f t="shared" si="94"/>
        <v>6434.61</v>
      </c>
      <c r="I218" s="77">
        <v>0</v>
      </c>
      <c r="J218" s="64">
        <f t="shared" si="93"/>
        <v>0</v>
      </c>
      <c r="K218" s="80"/>
    </row>
    <row r="219" customHeight="1" spans="1:11">
      <c r="A219" s="67">
        <v>43768</v>
      </c>
      <c r="B219" s="68" t="s">
        <v>82</v>
      </c>
      <c r="C219" s="68" t="s">
        <v>83</v>
      </c>
      <c r="D219" s="69">
        <f t="shared" si="91"/>
        <v>7446.82</v>
      </c>
      <c r="E219" s="70"/>
      <c r="F219" s="70"/>
      <c r="G219" s="71">
        <v>1952</v>
      </c>
      <c r="H219" s="72">
        <f t="shared" si="94"/>
        <v>5494.82</v>
      </c>
      <c r="I219" s="81">
        <f>[126]对账!$B$10</f>
        <v>1863.22</v>
      </c>
      <c r="J219" s="69">
        <f t="shared" si="93"/>
        <v>88.78</v>
      </c>
      <c r="K219" s="82" t="s">
        <v>17</v>
      </c>
    </row>
    <row r="220" customHeight="1" spans="1:11">
      <c r="A220" s="90" t="s">
        <v>0</v>
      </c>
      <c r="B220" s="91" t="s">
        <v>1</v>
      </c>
      <c r="C220" s="91" t="s">
        <v>2</v>
      </c>
      <c r="D220" s="92" t="s">
        <v>3</v>
      </c>
      <c r="E220" s="91" t="s">
        <v>4</v>
      </c>
      <c r="F220" s="91" t="s">
        <v>5</v>
      </c>
      <c r="G220" s="93" t="s">
        <v>6</v>
      </c>
      <c r="H220" s="94" t="s">
        <v>7</v>
      </c>
      <c r="I220" s="97" t="s">
        <v>8</v>
      </c>
      <c r="J220" s="92" t="s">
        <v>9</v>
      </c>
      <c r="K220" s="98" t="s">
        <v>10</v>
      </c>
    </row>
    <row r="221" customHeight="1" spans="1:11">
      <c r="A221" s="57">
        <v>43769</v>
      </c>
      <c r="B221" s="58" t="s">
        <v>11</v>
      </c>
      <c r="C221" s="58" t="s">
        <v>12</v>
      </c>
      <c r="D221" s="59">
        <f t="shared" ref="D221:D227" si="95">H213</f>
        <v>5443.42</v>
      </c>
      <c r="E221" s="60"/>
      <c r="F221" s="60"/>
      <c r="G221" s="61">
        <v>423</v>
      </c>
      <c r="H221" s="62">
        <f t="shared" ref="H221:H224" si="96">D221-G221+E221+F221</f>
        <v>5020.42</v>
      </c>
      <c r="I221" s="75">
        <v>423</v>
      </c>
      <c r="J221" s="59">
        <f t="shared" ref="J221:J227" si="97">G221-I221</f>
        <v>0</v>
      </c>
      <c r="K221" s="83"/>
    </row>
    <row r="222" customHeight="1" spans="1:11">
      <c r="A222" s="63">
        <v>43769</v>
      </c>
      <c r="B222" s="8" t="s">
        <v>65</v>
      </c>
      <c r="C222" s="8" t="s">
        <v>16</v>
      </c>
      <c r="D222" s="64">
        <f t="shared" si="95"/>
        <v>1927.88</v>
      </c>
      <c r="E222" s="6"/>
      <c r="F222" s="6"/>
      <c r="G222" s="65">
        <v>5</v>
      </c>
      <c r="H222" s="66">
        <f t="shared" si="96"/>
        <v>1922.88</v>
      </c>
      <c r="I222" s="77">
        <v>5</v>
      </c>
      <c r="J222" s="64">
        <f t="shared" si="97"/>
        <v>0</v>
      </c>
      <c r="K222" s="78"/>
    </row>
    <row r="223" customHeight="1" spans="1:11">
      <c r="A223" s="63">
        <v>43769</v>
      </c>
      <c r="B223" s="8" t="s">
        <v>31</v>
      </c>
      <c r="C223" s="8" t="s">
        <v>19</v>
      </c>
      <c r="D223" s="64">
        <f t="shared" si="95"/>
        <v>4701.8</v>
      </c>
      <c r="E223" s="6"/>
      <c r="F223" s="6"/>
      <c r="G223" s="65">
        <v>4556</v>
      </c>
      <c r="H223" s="66">
        <f t="shared" si="96"/>
        <v>145.799999999999</v>
      </c>
      <c r="I223" s="77">
        <f>[129]对账!$B$134</f>
        <v>4560.82</v>
      </c>
      <c r="J223" s="64">
        <f t="shared" si="97"/>
        <v>-4.81999999999971</v>
      </c>
      <c r="K223" s="79"/>
    </row>
    <row r="224" customHeight="1" spans="1:11">
      <c r="A224" s="63">
        <v>43769</v>
      </c>
      <c r="B224" s="8" t="s">
        <v>18</v>
      </c>
      <c r="C224" s="8" t="s">
        <v>20</v>
      </c>
      <c r="D224" s="64">
        <f t="shared" si="95"/>
        <v>6219.2</v>
      </c>
      <c r="E224" s="6">
        <v>10000</v>
      </c>
      <c r="F224" s="6"/>
      <c r="G224" s="65">
        <v>4106</v>
      </c>
      <c r="H224" s="66">
        <f t="shared" si="96"/>
        <v>12113.2</v>
      </c>
      <c r="I224" s="77">
        <f>[128]账单!$E$33</f>
        <v>4105.82</v>
      </c>
      <c r="J224" s="64">
        <f t="shared" si="97"/>
        <v>0.180000000000291</v>
      </c>
      <c r="K224" s="80"/>
    </row>
    <row r="225" customHeight="1" spans="1:11">
      <c r="A225" s="63">
        <v>43769</v>
      </c>
      <c r="B225" s="8" t="s">
        <v>18</v>
      </c>
      <c r="C225" s="8" t="s">
        <v>40</v>
      </c>
      <c r="D225" s="64">
        <f t="shared" si="95"/>
        <v>1187.64</v>
      </c>
      <c r="E225" s="6">
        <v>10000</v>
      </c>
      <c r="F225" s="6"/>
      <c r="G225" s="65">
        <v>1398</v>
      </c>
      <c r="H225" s="66">
        <f t="shared" ref="H225:H227" si="98">D225+E225+F225-G225</f>
        <v>9789.64</v>
      </c>
      <c r="I225" s="77">
        <f>[127]账单!$E$33</f>
        <v>1397.64</v>
      </c>
      <c r="J225" s="64">
        <f t="shared" si="97"/>
        <v>0.3599999999999</v>
      </c>
      <c r="K225" s="80"/>
    </row>
    <row r="226" customHeight="1" spans="1:11">
      <c r="A226" s="63">
        <v>43769</v>
      </c>
      <c r="B226" s="8"/>
      <c r="C226" s="8" t="s">
        <v>41</v>
      </c>
      <c r="D226" s="64">
        <f t="shared" si="95"/>
        <v>6434.61</v>
      </c>
      <c r="E226" s="6"/>
      <c r="F226" s="6"/>
      <c r="G226" s="65">
        <v>0</v>
      </c>
      <c r="H226" s="66">
        <f t="shared" si="98"/>
        <v>6434.61</v>
      </c>
      <c r="I226" s="77">
        <v>0</v>
      </c>
      <c r="J226" s="64">
        <f t="shared" si="97"/>
        <v>0</v>
      </c>
      <c r="K226" s="80"/>
    </row>
    <row r="227" customHeight="1" spans="1:11">
      <c r="A227" s="67">
        <v>43769</v>
      </c>
      <c r="B227" s="68" t="s">
        <v>82</v>
      </c>
      <c r="C227" s="68" t="s">
        <v>83</v>
      </c>
      <c r="D227" s="69">
        <f t="shared" si="95"/>
        <v>5494.82</v>
      </c>
      <c r="E227" s="70"/>
      <c r="F227" s="70"/>
      <c r="G227" s="71">
        <v>1964</v>
      </c>
      <c r="H227" s="72">
        <f t="shared" si="98"/>
        <v>3530.82</v>
      </c>
      <c r="I227" s="81">
        <f>[130]对账!$B$11</f>
        <v>1900.34</v>
      </c>
      <c r="J227" s="69">
        <f t="shared" si="97"/>
        <v>63.6600000000001</v>
      </c>
      <c r="K227" s="82"/>
    </row>
  </sheetData>
  <autoFilter ref="A1:K227">
    <extLst/>
  </autoFilter>
  <pageMargins left="0.75" right="0.75" top="1" bottom="1" header="0.5" footer="0.5"/>
  <pageSetup paperSize="1"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B78"/>
  <sheetViews>
    <sheetView tabSelected="1" topLeftCell="A4" workbookViewId="0">
      <selection activeCell="B12" sqref="B12:K27"/>
    </sheetView>
  </sheetViews>
  <sheetFormatPr defaultColWidth="9" defaultRowHeight="14.25"/>
  <cols>
    <col min="1" max="1" width="9" style="16"/>
    <col min="2" max="2" width="8.125" style="17" customWidth="1"/>
    <col min="3" max="3" width="13.125" style="17" customWidth="1"/>
    <col min="4" max="4" width="16.875" style="18" customWidth="1"/>
    <col min="5" max="5" width="18.125" style="18" customWidth="1"/>
    <col min="6" max="6" width="13.375" style="18" customWidth="1"/>
    <col min="7" max="7" width="11.375" style="18" customWidth="1"/>
    <col min="8" max="9" width="13.375" style="18" customWidth="1"/>
    <col min="10" max="10" width="11.625" style="18" customWidth="1"/>
    <col min="11" max="11" width="7.875" style="16" customWidth="1"/>
    <col min="12" max="28" width="9" style="16"/>
  </cols>
  <sheetData>
    <row r="1" ht="25" customHeight="1"/>
    <row r="2" ht="25" customHeight="1"/>
    <row r="3" ht="25" customHeight="1"/>
    <row r="4" ht="25" customHeight="1"/>
    <row r="5" ht="25" customHeight="1"/>
    <row r="6" ht="25" customHeight="1"/>
    <row r="7" ht="25" customHeight="1"/>
    <row r="8" ht="20" customHeight="1" spans="2:11">
      <c r="B8" s="19" t="s">
        <v>85</v>
      </c>
      <c r="C8" s="20"/>
      <c r="D8" s="20"/>
      <c r="E8" s="20"/>
      <c r="F8" s="20"/>
      <c r="G8" s="20"/>
      <c r="H8" s="20"/>
      <c r="I8" s="20"/>
      <c r="J8" s="20"/>
      <c r="K8" s="20"/>
    </row>
    <row r="9" ht="18" customHeight="1" spans="2:11">
      <c r="B9" s="19"/>
      <c r="C9" s="20"/>
      <c r="D9" s="20"/>
      <c r="E9" s="20"/>
      <c r="F9" s="20"/>
      <c r="G9" s="20"/>
      <c r="H9" s="20"/>
      <c r="I9" s="20"/>
      <c r="J9" s="20"/>
      <c r="K9" s="20"/>
    </row>
    <row r="10" ht="20" customHeight="1" spans="2:11">
      <c r="B10" s="21" t="s">
        <v>86</v>
      </c>
      <c r="C10" s="22"/>
      <c r="D10" s="22"/>
      <c r="E10" s="22"/>
      <c r="F10" s="22"/>
      <c r="G10" s="22"/>
      <c r="H10" s="22"/>
      <c r="I10" s="22"/>
      <c r="J10" s="22"/>
      <c r="K10" s="22"/>
    </row>
    <row r="11" ht="9" customHeight="1" spans="2:11">
      <c r="B11" s="23"/>
      <c r="C11" s="23"/>
      <c r="D11" s="24"/>
      <c r="E11" s="24"/>
      <c r="F11" s="24"/>
      <c r="G11" s="24"/>
      <c r="H11" s="24"/>
      <c r="I11" s="24"/>
      <c r="J11" s="24"/>
      <c r="K11" s="24"/>
    </row>
    <row r="12" s="15" customFormat="1" ht="25" customHeight="1" spans="1:28">
      <c r="A12" s="18"/>
      <c r="B12" s="25" t="s">
        <v>87</v>
      </c>
      <c r="C12" s="26" t="s">
        <v>88</v>
      </c>
      <c r="D12" s="27" t="s">
        <v>89</v>
      </c>
      <c r="E12" s="28" t="s">
        <v>90</v>
      </c>
      <c r="F12" s="27" t="s">
        <v>91</v>
      </c>
      <c r="G12" s="27" t="s">
        <v>92</v>
      </c>
      <c r="H12" s="27" t="s">
        <v>93</v>
      </c>
      <c r="I12" s="27" t="s">
        <v>94</v>
      </c>
      <c r="J12" s="27" t="s">
        <v>95</v>
      </c>
      <c r="K12" s="48" t="s">
        <v>10</v>
      </c>
      <c r="L12" s="18"/>
      <c r="M12" s="18"/>
      <c r="N12" s="18"/>
      <c r="O12" s="18"/>
      <c r="P12" s="18"/>
      <c r="Q12" s="18"/>
      <c r="R12" s="18"/>
      <c r="S12" s="18"/>
      <c r="T12" s="18"/>
      <c r="U12" s="18"/>
      <c r="V12" s="18"/>
      <c r="W12" s="18"/>
      <c r="X12" s="18"/>
      <c r="Y12" s="18"/>
      <c r="Z12" s="18"/>
      <c r="AA12" s="18"/>
      <c r="AB12" s="18"/>
    </row>
    <row r="13" ht="25" customHeight="1" spans="2:11">
      <c r="B13" s="29">
        <v>1</v>
      </c>
      <c r="C13" s="30" t="s">
        <v>96</v>
      </c>
      <c r="D13" s="31" t="s">
        <v>97</v>
      </c>
      <c r="E13" s="32" t="s">
        <v>98</v>
      </c>
      <c r="F13" s="31" t="s">
        <v>99</v>
      </c>
      <c r="G13" s="31" t="s">
        <v>100</v>
      </c>
      <c r="H13" s="31" t="s">
        <v>101</v>
      </c>
      <c r="I13" s="31" t="s">
        <v>102</v>
      </c>
      <c r="J13" s="31" t="s">
        <v>103</v>
      </c>
      <c r="K13" s="49"/>
    </row>
    <row r="14" ht="25" customHeight="1" spans="2:11">
      <c r="B14" s="33">
        <v>2</v>
      </c>
      <c r="C14" s="34" t="s">
        <v>104</v>
      </c>
      <c r="D14" s="35" t="s">
        <v>105</v>
      </c>
      <c r="E14" s="36" t="s">
        <v>98</v>
      </c>
      <c r="F14" s="35" t="s">
        <v>99</v>
      </c>
      <c r="G14" s="35" t="s">
        <v>106</v>
      </c>
      <c r="H14" s="37" t="s">
        <v>107</v>
      </c>
      <c r="I14" s="37" t="s">
        <v>108</v>
      </c>
      <c r="J14" s="37" t="s">
        <v>109</v>
      </c>
      <c r="K14" s="50"/>
    </row>
    <row r="15" ht="25" customHeight="1" spans="2:11">
      <c r="B15" s="29">
        <v>3</v>
      </c>
      <c r="C15" s="30" t="s">
        <v>110</v>
      </c>
      <c r="D15" s="31" t="s">
        <v>111</v>
      </c>
      <c r="E15" s="32" t="s">
        <v>98</v>
      </c>
      <c r="F15" s="31" t="s">
        <v>99</v>
      </c>
      <c r="G15" s="31" t="s">
        <v>112</v>
      </c>
      <c r="H15" s="31" t="s">
        <v>113</v>
      </c>
      <c r="I15" s="31" t="s">
        <v>114</v>
      </c>
      <c r="J15" s="38" t="s">
        <v>115</v>
      </c>
      <c r="K15" s="49"/>
    </row>
    <row r="16" ht="25" customHeight="1" spans="2:11">
      <c r="B16" s="33"/>
      <c r="C16" s="34"/>
      <c r="D16" s="35"/>
      <c r="E16" s="37"/>
      <c r="F16" s="37"/>
      <c r="G16" s="37"/>
      <c r="H16" s="37"/>
      <c r="I16" s="37"/>
      <c r="J16" s="37"/>
      <c r="K16" s="50"/>
    </row>
    <row r="17" ht="25" customHeight="1" spans="2:11">
      <c r="B17" s="29"/>
      <c r="C17" s="30"/>
      <c r="D17" s="31"/>
      <c r="E17" s="38"/>
      <c r="F17" s="38"/>
      <c r="G17" s="38"/>
      <c r="H17" s="38"/>
      <c r="I17" s="38"/>
      <c r="J17" s="38"/>
      <c r="K17" s="49"/>
    </row>
    <row r="18" ht="25" customHeight="1" spans="2:11">
      <c r="B18" s="33"/>
      <c r="C18" s="34"/>
      <c r="D18" s="35"/>
      <c r="E18" s="37"/>
      <c r="F18" s="37"/>
      <c r="G18" s="37"/>
      <c r="H18" s="37"/>
      <c r="I18" s="37"/>
      <c r="J18" s="37"/>
      <c r="K18" s="50"/>
    </row>
    <row r="19" ht="25" customHeight="1" spans="2:11">
      <c r="B19" s="29"/>
      <c r="C19" s="30"/>
      <c r="D19" s="31"/>
      <c r="E19" s="38"/>
      <c r="F19" s="38"/>
      <c r="G19" s="38"/>
      <c r="H19" s="38"/>
      <c r="I19" s="38"/>
      <c r="J19" s="38"/>
      <c r="K19" s="49"/>
    </row>
    <row r="20" ht="25" customHeight="1" spans="2:11">
      <c r="B20" s="33"/>
      <c r="C20" s="34"/>
      <c r="D20" s="35"/>
      <c r="E20" s="37"/>
      <c r="F20" s="37"/>
      <c r="G20" s="37"/>
      <c r="H20" s="37"/>
      <c r="I20" s="37"/>
      <c r="J20" s="37"/>
      <c r="K20" s="50"/>
    </row>
    <row r="21" ht="25" customHeight="1" spans="2:11">
      <c r="B21" s="29"/>
      <c r="C21" s="30"/>
      <c r="D21" s="31"/>
      <c r="E21" s="38"/>
      <c r="F21" s="38"/>
      <c r="G21" s="38"/>
      <c r="H21" s="38"/>
      <c r="I21" s="38"/>
      <c r="J21" s="38"/>
      <c r="K21" s="49"/>
    </row>
    <row r="22" ht="25" customHeight="1" spans="2:11">
      <c r="B22" s="33"/>
      <c r="C22" s="34"/>
      <c r="D22" s="35"/>
      <c r="E22" s="37"/>
      <c r="F22" s="37"/>
      <c r="G22" s="37"/>
      <c r="H22" s="37"/>
      <c r="I22" s="37"/>
      <c r="J22" s="37"/>
      <c r="K22" s="50"/>
    </row>
    <row r="23" ht="25" customHeight="1" spans="2:11">
      <c r="B23" s="29"/>
      <c r="C23" s="30"/>
      <c r="D23" s="31"/>
      <c r="E23" s="38"/>
      <c r="F23" s="38"/>
      <c r="G23" s="38"/>
      <c r="H23" s="38"/>
      <c r="I23" s="38"/>
      <c r="J23" s="38"/>
      <c r="K23" s="49"/>
    </row>
    <row r="24" ht="25" customHeight="1" spans="2:11">
      <c r="B24" s="33"/>
      <c r="C24" s="34"/>
      <c r="D24" s="35"/>
      <c r="E24" s="37"/>
      <c r="F24" s="37"/>
      <c r="G24" s="37"/>
      <c r="H24" s="37"/>
      <c r="I24" s="37"/>
      <c r="J24" s="37"/>
      <c r="K24" s="50"/>
    </row>
    <row r="25" ht="25" customHeight="1" spans="2:11">
      <c r="B25" s="29"/>
      <c r="C25" s="30"/>
      <c r="D25" s="31"/>
      <c r="E25" s="38"/>
      <c r="F25" s="38"/>
      <c r="G25" s="38"/>
      <c r="H25" s="38"/>
      <c r="I25" s="38"/>
      <c r="J25" s="38"/>
      <c r="K25" s="49"/>
    </row>
    <row r="26" ht="25" customHeight="1" spans="2:11">
      <c r="B26" s="33"/>
      <c r="C26" s="34"/>
      <c r="D26" s="35"/>
      <c r="E26" s="37"/>
      <c r="F26" s="37"/>
      <c r="G26" s="37"/>
      <c r="H26" s="37"/>
      <c r="I26" s="37"/>
      <c r="J26" s="37"/>
      <c r="K26" s="50"/>
    </row>
    <row r="27" ht="25" customHeight="1" spans="2:11">
      <c r="B27" s="29"/>
      <c r="C27" s="30"/>
      <c r="D27" s="31"/>
      <c r="E27" s="39"/>
      <c r="F27" s="39"/>
      <c r="G27" s="39"/>
      <c r="H27" s="39"/>
      <c r="I27" s="39"/>
      <c r="J27" s="39"/>
      <c r="K27" s="49"/>
    </row>
    <row r="28" ht="25" customHeight="1" spans="2:11">
      <c r="B28" s="33"/>
      <c r="C28" s="34"/>
      <c r="D28" s="35"/>
      <c r="E28" s="40"/>
      <c r="F28" s="40"/>
      <c r="G28" s="40"/>
      <c r="H28" s="40"/>
      <c r="I28" s="40"/>
      <c r="J28" s="40"/>
      <c r="K28" s="50"/>
    </row>
    <row r="29" ht="25" customHeight="1" spans="2:11">
      <c r="B29" s="29"/>
      <c r="C29" s="30"/>
      <c r="D29" s="31"/>
      <c r="E29" s="39"/>
      <c r="F29" s="39"/>
      <c r="G29" s="39"/>
      <c r="H29" s="39"/>
      <c r="I29" s="39"/>
      <c r="J29" s="39"/>
      <c r="K29" s="49"/>
    </row>
    <row r="30" ht="25" customHeight="1" spans="2:11">
      <c r="B30" s="41"/>
      <c r="C30" s="42"/>
      <c r="D30" s="43"/>
      <c r="E30" s="44"/>
      <c r="F30" s="44"/>
      <c r="G30" s="44"/>
      <c r="H30" s="44"/>
      <c r="I30" s="44"/>
      <c r="J30" s="44"/>
      <c r="K30" s="51"/>
    </row>
    <row r="31" ht="25" customHeight="1" spans="2:11">
      <c r="B31" s="45"/>
      <c r="C31" s="45"/>
      <c r="D31" s="46"/>
      <c r="E31" s="47"/>
      <c r="F31" s="47"/>
      <c r="G31" s="47"/>
      <c r="H31" s="47"/>
      <c r="I31" s="47"/>
      <c r="J31" s="47"/>
      <c r="K31" s="47"/>
    </row>
    <row r="32" ht="25" customHeight="1" spans="2:11">
      <c r="B32" s="34"/>
      <c r="C32" s="34"/>
      <c r="D32" s="35"/>
      <c r="E32" s="40"/>
      <c r="F32" s="40"/>
      <c r="G32" s="40"/>
      <c r="H32" s="40"/>
      <c r="I32" s="40"/>
      <c r="J32" s="40"/>
      <c r="K32" s="40"/>
    </row>
    <row r="33" ht="25" customHeight="1" spans="2:11">
      <c r="B33" s="30"/>
      <c r="C33" s="30"/>
      <c r="D33" s="31"/>
      <c r="E33" s="39"/>
      <c r="F33" s="39"/>
      <c r="G33" s="39"/>
      <c r="H33" s="39"/>
      <c r="I33" s="39"/>
      <c r="J33" s="39"/>
      <c r="K33" s="39"/>
    </row>
    <row r="34" ht="25" customHeight="1" spans="2:11">
      <c r="B34" s="34"/>
      <c r="C34" s="34"/>
      <c r="D34" s="35"/>
      <c r="E34" s="40"/>
      <c r="F34" s="40"/>
      <c r="G34" s="40"/>
      <c r="H34" s="40"/>
      <c r="I34" s="40"/>
      <c r="J34" s="40"/>
      <c r="K34" s="40"/>
    </row>
    <row r="35" ht="25" customHeight="1" spans="2:11">
      <c r="B35" s="30"/>
      <c r="C35" s="30"/>
      <c r="D35" s="31"/>
      <c r="E35" s="39"/>
      <c r="F35" s="39"/>
      <c r="G35" s="39"/>
      <c r="H35" s="39"/>
      <c r="I35" s="39"/>
      <c r="J35" s="39"/>
      <c r="K35" s="39"/>
    </row>
    <row r="36" ht="25" customHeight="1" spans="2:11">
      <c r="B36" s="34"/>
      <c r="C36" s="34"/>
      <c r="D36" s="35"/>
      <c r="E36" s="40"/>
      <c r="F36" s="40"/>
      <c r="G36" s="40"/>
      <c r="H36" s="40"/>
      <c r="I36" s="40"/>
      <c r="J36" s="40"/>
      <c r="K36" s="40"/>
    </row>
    <row r="37" ht="25" customHeight="1" spans="2:11">
      <c r="B37" s="30"/>
      <c r="C37" s="30"/>
      <c r="D37" s="31"/>
      <c r="E37" s="39"/>
      <c r="F37" s="39"/>
      <c r="G37" s="39"/>
      <c r="H37" s="39"/>
      <c r="I37" s="39"/>
      <c r="J37" s="39"/>
      <c r="K37" s="39"/>
    </row>
    <row r="38" ht="25" customHeight="1" spans="2:11">
      <c r="B38" s="34"/>
      <c r="C38" s="34"/>
      <c r="D38" s="35"/>
      <c r="E38" s="40"/>
      <c r="F38" s="40"/>
      <c r="G38" s="40"/>
      <c r="H38" s="40"/>
      <c r="I38" s="40"/>
      <c r="J38" s="40"/>
      <c r="K38" s="40"/>
    </row>
    <row r="39" ht="25" customHeight="1" spans="2:11">
      <c r="B39" s="30"/>
      <c r="C39" s="30"/>
      <c r="D39" s="31"/>
      <c r="E39" s="39"/>
      <c r="F39" s="39"/>
      <c r="G39" s="39"/>
      <c r="H39" s="39"/>
      <c r="I39" s="39"/>
      <c r="J39" s="39"/>
      <c r="K39" s="39"/>
    </row>
    <row r="40" ht="25" customHeight="1" spans="2:11">
      <c r="B40" s="34"/>
      <c r="C40" s="34"/>
      <c r="D40" s="35"/>
      <c r="E40" s="40"/>
      <c r="F40" s="40"/>
      <c r="G40" s="40"/>
      <c r="H40" s="40"/>
      <c r="I40" s="40"/>
      <c r="J40" s="40"/>
      <c r="K40" s="40"/>
    </row>
    <row r="41" ht="25" customHeight="1" spans="2:11">
      <c r="B41" s="30"/>
      <c r="C41" s="30"/>
      <c r="D41" s="31"/>
      <c r="E41" s="39"/>
      <c r="F41" s="39"/>
      <c r="G41" s="39"/>
      <c r="H41" s="39"/>
      <c r="I41" s="39"/>
      <c r="J41" s="39"/>
      <c r="K41" s="39"/>
    </row>
    <row r="42" ht="25" customHeight="1" spans="2:11">
      <c r="B42" s="34"/>
      <c r="C42" s="34"/>
      <c r="D42" s="35"/>
      <c r="E42" s="40"/>
      <c r="F42" s="40"/>
      <c r="G42" s="40"/>
      <c r="H42" s="40"/>
      <c r="I42" s="40"/>
      <c r="J42" s="40"/>
      <c r="K42" s="40"/>
    </row>
    <row r="43" ht="25" customHeight="1" spans="2:11">
      <c r="B43" s="30"/>
      <c r="C43" s="30"/>
      <c r="D43" s="31"/>
      <c r="E43" s="39"/>
      <c r="F43" s="39"/>
      <c r="G43" s="39"/>
      <c r="H43" s="39"/>
      <c r="I43" s="39"/>
      <c r="J43" s="39"/>
      <c r="K43" s="39"/>
    </row>
    <row r="44" ht="25" customHeight="1" spans="2:11">
      <c r="B44" s="34"/>
      <c r="C44" s="34"/>
      <c r="D44" s="35"/>
      <c r="E44" s="40"/>
      <c r="F44" s="40"/>
      <c r="G44" s="40"/>
      <c r="H44" s="40"/>
      <c r="I44" s="40"/>
      <c r="J44" s="40"/>
      <c r="K44" s="40"/>
    </row>
    <row r="45" ht="25" customHeight="1" spans="2:11">
      <c r="B45" s="30"/>
      <c r="C45" s="30"/>
      <c r="D45" s="31"/>
      <c r="E45" s="39"/>
      <c r="F45" s="39"/>
      <c r="G45" s="39"/>
      <c r="H45" s="39"/>
      <c r="I45" s="39"/>
      <c r="J45" s="39"/>
      <c r="K45" s="39"/>
    </row>
    <row r="46" ht="25" customHeight="1" spans="2:11">
      <c r="B46" s="34"/>
      <c r="C46" s="34"/>
      <c r="D46" s="35"/>
      <c r="E46" s="40"/>
      <c r="F46" s="40"/>
      <c r="G46" s="40"/>
      <c r="H46" s="40"/>
      <c r="I46" s="40"/>
      <c r="J46" s="40"/>
      <c r="K46" s="40"/>
    </row>
    <row r="47" ht="25" customHeight="1" spans="2:11">
      <c r="B47" s="30"/>
      <c r="C47" s="30"/>
      <c r="D47" s="31"/>
      <c r="E47" s="39"/>
      <c r="F47" s="39"/>
      <c r="G47" s="39"/>
      <c r="H47" s="39"/>
      <c r="I47" s="39"/>
      <c r="J47" s="39"/>
      <c r="K47" s="39"/>
    </row>
    <row r="48" ht="25" customHeight="1" spans="2:11">
      <c r="B48" s="34"/>
      <c r="C48" s="34"/>
      <c r="D48" s="35"/>
      <c r="E48" s="40"/>
      <c r="F48" s="40"/>
      <c r="G48" s="40"/>
      <c r="H48" s="40"/>
      <c r="I48" s="40"/>
      <c r="J48" s="40"/>
      <c r="K48" s="40"/>
    </row>
    <row r="49" ht="25" customHeight="1" spans="2:11">
      <c r="B49" s="30"/>
      <c r="C49" s="30"/>
      <c r="D49" s="31"/>
      <c r="E49" s="39"/>
      <c r="F49" s="39"/>
      <c r="G49" s="39"/>
      <c r="H49" s="39"/>
      <c r="I49" s="39"/>
      <c r="J49" s="39"/>
      <c r="K49" s="39"/>
    </row>
    <row r="50" ht="25" customHeight="1" spans="2:11">
      <c r="B50" s="34"/>
      <c r="C50" s="34"/>
      <c r="D50" s="35"/>
      <c r="E50" s="40"/>
      <c r="F50" s="40"/>
      <c r="G50" s="40"/>
      <c r="H50" s="40"/>
      <c r="I50" s="40"/>
      <c r="J50" s="40"/>
      <c r="K50" s="40"/>
    </row>
    <row r="51" ht="25" customHeight="1" spans="2:11">
      <c r="B51" s="30"/>
      <c r="C51" s="30"/>
      <c r="D51" s="31"/>
      <c r="E51" s="39"/>
      <c r="F51" s="39"/>
      <c r="G51" s="39"/>
      <c r="H51" s="39"/>
      <c r="I51" s="39"/>
      <c r="J51" s="39"/>
      <c r="K51" s="39"/>
    </row>
    <row r="52" ht="25" customHeight="1" spans="2:11">
      <c r="B52" s="34"/>
      <c r="C52" s="34"/>
      <c r="D52" s="35"/>
      <c r="E52" s="40"/>
      <c r="F52" s="40"/>
      <c r="G52" s="40"/>
      <c r="H52" s="40"/>
      <c r="I52" s="40"/>
      <c r="J52" s="40"/>
      <c r="K52" s="40"/>
    </row>
    <row r="53" ht="25" customHeight="1" spans="2:11">
      <c r="B53" s="30"/>
      <c r="C53" s="30"/>
      <c r="D53" s="31"/>
      <c r="E53" s="39"/>
      <c r="F53" s="39"/>
      <c r="G53" s="39"/>
      <c r="H53" s="39"/>
      <c r="I53" s="39"/>
      <c r="J53" s="39"/>
      <c r="K53" s="39"/>
    </row>
    <row r="54" ht="25" customHeight="1" spans="2:11">
      <c r="B54" s="34"/>
      <c r="C54" s="34"/>
      <c r="D54" s="35"/>
      <c r="E54" s="40"/>
      <c r="F54" s="40"/>
      <c r="G54" s="40"/>
      <c r="H54" s="40"/>
      <c r="I54" s="40"/>
      <c r="J54" s="40"/>
      <c r="K54" s="40"/>
    </row>
    <row r="55" ht="25" customHeight="1" spans="2:11">
      <c r="B55" s="30"/>
      <c r="C55" s="30"/>
      <c r="D55" s="31"/>
      <c r="E55" s="39"/>
      <c r="F55" s="39"/>
      <c r="G55" s="39"/>
      <c r="H55" s="39"/>
      <c r="I55" s="39"/>
      <c r="J55" s="39"/>
      <c r="K55" s="39"/>
    </row>
    <row r="56" ht="25" customHeight="1" spans="2:11">
      <c r="B56" s="34"/>
      <c r="C56" s="34"/>
      <c r="D56" s="35"/>
      <c r="E56" s="40"/>
      <c r="F56" s="40"/>
      <c r="G56" s="40"/>
      <c r="H56" s="40"/>
      <c r="I56" s="40"/>
      <c r="J56" s="40"/>
      <c r="K56" s="40"/>
    </row>
    <row r="57" ht="25" customHeight="1" spans="2:11">
      <c r="B57" s="30"/>
      <c r="C57" s="30"/>
      <c r="D57" s="31"/>
      <c r="E57" s="39"/>
      <c r="F57" s="39"/>
      <c r="G57" s="39"/>
      <c r="H57" s="39"/>
      <c r="I57" s="39"/>
      <c r="J57" s="39"/>
      <c r="K57" s="39"/>
    </row>
    <row r="58" ht="25" customHeight="1" spans="2:11">
      <c r="B58" s="34"/>
      <c r="C58" s="34"/>
      <c r="D58" s="35"/>
      <c r="E58" s="40"/>
      <c r="F58" s="40"/>
      <c r="G58" s="40"/>
      <c r="H58" s="40"/>
      <c r="I58" s="40"/>
      <c r="J58" s="40"/>
      <c r="K58" s="40"/>
    </row>
    <row r="59" ht="25" customHeight="1" spans="2:11">
      <c r="B59" s="30"/>
      <c r="C59" s="30"/>
      <c r="D59" s="31"/>
      <c r="E59" s="39"/>
      <c r="F59" s="39"/>
      <c r="G59" s="39"/>
      <c r="H59" s="39"/>
      <c r="I59" s="39"/>
      <c r="J59" s="39"/>
      <c r="K59" s="39"/>
    </row>
    <row r="60" ht="25" customHeight="1" spans="2:11">
      <c r="B60" s="34"/>
      <c r="C60" s="34"/>
      <c r="D60" s="35"/>
      <c r="E60" s="40"/>
      <c r="F60" s="40"/>
      <c r="G60" s="40"/>
      <c r="H60" s="40"/>
      <c r="I60" s="40"/>
      <c r="J60" s="40"/>
      <c r="K60" s="40"/>
    </row>
    <row r="61" ht="25" customHeight="1" spans="2:11">
      <c r="B61" s="30"/>
      <c r="C61" s="30"/>
      <c r="D61" s="31"/>
      <c r="E61" s="39"/>
      <c r="F61" s="39"/>
      <c r="G61" s="39"/>
      <c r="H61" s="39"/>
      <c r="I61" s="39"/>
      <c r="J61" s="39"/>
      <c r="K61" s="39"/>
    </row>
    <row r="62" ht="25" customHeight="1" spans="2:11">
      <c r="B62" s="34"/>
      <c r="C62" s="34"/>
      <c r="D62" s="35"/>
      <c r="E62" s="40"/>
      <c r="F62" s="40"/>
      <c r="G62" s="40"/>
      <c r="H62" s="40"/>
      <c r="I62" s="40"/>
      <c r="J62" s="40"/>
      <c r="K62" s="40"/>
    </row>
    <row r="63" ht="25" customHeight="1" spans="2:11">
      <c r="B63" s="30"/>
      <c r="C63" s="30"/>
      <c r="D63" s="31"/>
      <c r="E63" s="39"/>
      <c r="F63" s="39"/>
      <c r="G63" s="39"/>
      <c r="H63" s="39"/>
      <c r="I63" s="39"/>
      <c r="J63" s="39"/>
      <c r="K63" s="39"/>
    </row>
    <row r="64" ht="25" customHeight="1" spans="2:11">
      <c r="B64" s="34"/>
      <c r="C64" s="34"/>
      <c r="D64" s="35"/>
      <c r="E64" s="40"/>
      <c r="F64" s="40"/>
      <c r="G64" s="40"/>
      <c r="H64" s="40"/>
      <c r="I64" s="40"/>
      <c r="J64" s="40"/>
      <c r="K64" s="40"/>
    </row>
    <row r="65" ht="25" customHeight="1" spans="2:11">
      <c r="B65" s="30"/>
      <c r="C65" s="30"/>
      <c r="D65" s="31"/>
      <c r="E65" s="39"/>
      <c r="F65" s="39"/>
      <c r="G65" s="39"/>
      <c r="H65" s="39"/>
      <c r="I65" s="39"/>
      <c r="J65" s="39"/>
      <c r="K65" s="39"/>
    </row>
    <row r="66" ht="25" customHeight="1" spans="2:11">
      <c r="B66" s="34"/>
      <c r="C66" s="34"/>
      <c r="D66" s="35"/>
      <c r="E66" s="40"/>
      <c r="F66" s="40"/>
      <c r="G66" s="40"/>
      <c r="H66" s="40"/>
      <c r="I66" s="40"/>
      <c r="J66" s="40"/>
      <c r="K66" s="40"/>
    </row>
    <row r="67" ht="25" customHeight="1" spans="2:11">
      <c r="B67" s="30"/>
      <c r="C67" s="30"/>
      <c r="D67" s="31"/>
      <c r="E67" s="39"/>
      <c r="F67" s="39"/>
      <c r="G67" s="39"/>
      <c r="H67" s="39"/>
      <c r="I67" s="39"/>
      <c r="J67" s="39"/>
      <c r="K67" s="39"/>
    </row>
    <row r="68" ht="25" customHeight="1" spans="2:11">
      <c r="B68" s="34"/>
      <c r="C68" s="34"/>
      <c r="D68" s="35"/>
      <c r="E68" s="40"/>
      <c r="F68" s="40"/>
      <c r="G68" s="40"/>
      <c r="H68" s="40"/>
      <c r="I68" s="40"/>
      <c r="J68" s="40"/>
      <c r="K68" s="40"/>
    </row>
    <row r="69" ht="25" customHeight="1" spans="2:11">
      <c r="B69" s="30"/>
      <c r="C69" s="30"/>
      <c r="D69" s="31"/>
      <c r="E69" s="39"/>
      <c r="F69" s="39"/>
      <c r="G69" s="39"/>
      <c r="H69" s="39"/>
      <c r="I69" s="39"/>
      <c r="J69" s="39"/>
      <c r="K69" s="39"/>
    </row>
    <row r="70" ht="25" customHeight="1" spans="2:11">
      <c r="B70" s="34"/>
      <c r="C70" s="34"/>
      <c r="D70" s="35"/>
      <c r="E70" s="40"/>
      <c r="F70" s="40"/>
      <c r="G70" s="40"/>
      <c r="H70" s="40"/>
      <c r="I70" s="40"/>
      <c r="J70" s="40"/>
      <c r="K70" s="40"/>
    </row>
    <row r="71" ht="25" customHeight="1" spans="2:11">
      <c r="B71" s="30"/>
      <c r="C71" s="30"/>
      <c r="D71" s="31"/>
      <c r="E71" s="39"/>
      <c r="F71" s="39"/>
      <c r="G71" s="39"/>
      <c r="H71" s="39"/>
      <c r="I71" s="39"/>
      <c r="J71" s="39"/>
      <c r="K71" s="39"/>
    </row>
    <row r="72" ht="25" customHeight="1" spans="2:11">
      <c r="B72" s="34"/>
      <c r="C72" s="34"/>
      <c r="D72" s="35"/>
      <c r="E72" s="40"/>
      <c r="F72" s="40"/>
      <c r="G72" s="40"/>
      <c r="H72" s="40"/>
      <c r="I72" s="40"/>
      <c r="J72" s="40"/>
      <c r="K72" s="40"/>
    </row>
    <row r="73" ht="25" customHeight="1" spans="2:11">
      <c r="B73" s="30"/>
      <c r="C73" s="30"/>
      <c r="D73" s="31"/>
      <c r="E73" s="39"/>
      <c r="F73" s="39"/>
      <c r="G73" s="39"/>
      <c r="H73" s="39"/>
      <c r="I73" s="39"/>
      <c r="J73" s="39"/>
      <c r="K73" s="39"/>
    </row>
    <row r="74" ht="25" customHeight="1" spans="2:11">
      <c r="B74" s="34"/>
      <c r="C74" s="34"/>
      <c r="D74" s="35"/>
      <c r="E74" s="40"/>
      <c r="F74" s="40"/>
      <c r="G74" s="40"/>
      <c r="H74" s="40"/>
      <c r="I74" s="40"/>
      <c r="J74" s="40"/>
      <c r="K74" s="40"/>
    </row>
    <row r="75" ht="25" customHeight="1" spans="2:11">
      <c r="B75" s="30"/>
      <c r="C75" s="30"/>
      <c r="D75" s="31"/>
      <c r="E75" s="39"/>
      <c r="F75" s="39"/>
      <c r="G75" s="39"/>
      <c r="H75" s="39"/>
      <c r="I75" s="39"/>
      <c r="J75" s="39"/>
      <c r="K75" s="39"/>
    </row>
    <row r="76" ht="25" customHeight="1" spans="2:11">
      <c r="B76" s="34"/>
      <c r="C76" s="34"/>
      <c r="D76" s="35"/>
      <c r="E76" s="40"/>
      <c r="F76" s="40"/>
      <c r="G76" s="40"/>
      <c r="H76" s="40"/>
      <c r="I76" s="40"/>
      <c r="J76" s="40"/>
      <c r="K76" s="40"/>
    </row>
    <row r="77" ht="25" customHeight="1" spans="2:11">
      <c r="B77" s="30"/>
      <c r="C77" s="30"/>
      <c r="D77" s="31"/>
      <c r="E77" s="39"/>
      <c r="F77" s="39"/>
      <c r="G77" s="39"/>
      <c r="H77" s="39"/>
      <c r="I77" s="39"/>
      <c r="J77" s="39"/>
      <c r="K77" s="39"/>
    </row>
    <row r="78" ht="25" customHeight="1" spans="2:11">
      <c r="B78" s="34"/>
      <c r="C78" s="34"/>
      <c r="D78" s="35"/>
      <c r="E78" s="40"/>
      <c r="F78" s="40"/>
      <c r="G78" s="40"/>
      <c r="H78" s="40"/>
      <c r="I78" s="40"/>
      <c r="J78" s="40"/>
      <c r="K78" s="40"/>
    </row>
  </sheetData>
  <protectedRanges>
    <protectedRange sqref="F12:H24 B12:E24 B25:H26" name="区域1"/>
    <protectedRange sqref="B11" name="区域2"/>
  </protectedRanges>
  <mergeCells count="3">
    <mergeCell ref="B10:K10"/>
    <mergeCell ref="B11:K11"/>
    <mergeCell ref="B8:K9"/>
  </mergeCells>
  <conditionalFormatting sqref="H13:H78">
    <cfRule type="containsText" dxfId="0" priority="7" operator="between" text="★★★★★">
      <formula>NOT(ISERROR(SEARCH("★★★★★",H13)))</formula>
    </cfRule>
    <cfRule type="containsText" dxfId="0" priority="6" operator="between" text="★★★★">
      <formula>NOT(ISERROR(SEARCH("★★★★",H13)))</formula>
    </cfRule>
    <cfRule type="cellIs" dxfId="1" priority="5" operator="equal">
      <formula>"★★★★★"</formula>
    </cfRule>
    <cfRule type="cellIs" dxfId="2" priority="4" operator="equal">
      <formula>"★★★★"</formula>
    </cfRule>
    <cfRule type="cellIs" dxfId="3" priority="3" operator="equal">
      <formula>"★★★"</formula>
    </cfRule>
    <cfRule type="cellIs" dxfId="4" priority="2" operator="equal">
      <formula>"★★"</formula>
    </cfRule>
    <cfRule type="cellIs" dxfId="4" priority="1" operator="equal">
      <formula>"★"</formula>
    </cfRule>
  </conditionalFormatting>
  <conditionalFormatting sqref="J13:J78">
    <cfRule type="containsText" dxfId="5" priority="8" operator="between" text="产能不足">
      <formula>NOT(ISERROR(SEARCH("产能不足",J13)))</formula>
    </cfRule>
  </conditionalFormatting>
  <dataValidations count="4">
    <dataValidation type="list" allowBlank="1" showInputMessage="1" showErrorMessage="1" sqref="J8:K8">
      <formula1>$D$13:$D$78</formula1>
    </dataValidation>
    <dataValidation type="list" allowBlank="1" showInputMessage="1" showErrorMessage="1" sqref="J28 J29 J30 J31 J32 J33 J34 J35 J36 J37 J38 J39 J40 J41 J42 J43 J44 J45 J46 J47 J48 J49 J50 J51 J52 J53 J54 J55 J56 J57 J58 J59 J60 J61 J62 J63 J64 J65 J66 J67 J68 J69 J70 J71 J72 J73 J74 J75 J76 J77 J78 J13:J27">
      <formula1>"产能富余,产能满足,产能不足"</formula1>
    </dataValidation>
    <dataValidation type="list" allowBlank="1" showInputMessage="1" showErrorMessage="1" sqref="G13 G14 G15 G28 G29 G30 G31 G32 G33 G34 G35 G36 G37 G38 G39 G40 G41 G42 G43 G44 G45 G46 G47 G48 G49 G50 G51 G52 G53 G54 G55 G56 G57 G58 G59 G60 G61 G62 G63 G64 G65 G66 G67 G68 G69 G70 G71 G72 G73 G74 G75 G76 G77 G78 G16:G27">
      <formula1>"30天,60天,90天"</formula1>
    </dataValidation>
    <dataValidation type="list" allowBlank="1" showInputMessage="1" showErrorMessage="1" sqref="H13 H14 H15 H28 H29 H30 H31 H32 H33 H34 H35 H36 H37 H38 H39 H40 H41 H42 H43 H44 H45 H46 H47 H48 H49 H50 H51 H52 H53 H54 H55 H56 H57 H58 H59 H60 H61 H62 H63 H64 H65 H66 H67 H68 H69 H70 H71 H72 H73 H74 H75 H76 H77 H78 H16:H27">
      <formula1>"★,★★,★★★,★★★★,★★★★★"</formula1>
    </dataValidation>
  </dataValidations>
  <pageMargins left="0.75" right="0.75" top="1" bottom="1" header="0.5" footer="0.5"/>
  <pageSetup paperSize="9" orientation="portrait"/>
  <headerFooter/>
  <ignoredErrors>
    <ignoredError sqref="E13:E15"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8"/>
  <sheetViews>
    <sheetView topLeftCell="A70" workbookViewId="0">
      <selection activeCell="K19" sqref="K18:K19"/>
    </sheetView>
  </sheetViews>
  <sheetFormatPr defaultColWidth="9" defaultRowHeight="14.25" outlineLevelCol="4"/>
  <cols>
    <col min="1" max="1" width="9.125" style="5"/>
    <col min="2" max="2" width="9" style="5"/>
    <col min="3" max="3" width="12.625" style="5" customWidth="1"/>
    <col min="4" max="4" width="9" style="5"/>
  </cols>
  <sheetData>
    <row r="1" s="1" customFormat="1" spans="1:4">
      <c r="A1" s="6" t="s">
        <v>0</v>
      </c>
      <c r="B1" s="6" t="s">
        <v>1</v>
      </c>
      <c r="C1" s="6" t="s">
        <v>2</v>
      </c>
      <c r="D1" s="6" t="s">
        <v>4</v>
      </c>
    </row>
    <row r="2" s="2" customFormat="1" spans="1:4">
      <c r="A2" s="7">
        <v>43656</v>
      </c>
      <c r="B2" s="8" t="s">
        <v>18</v>
      </c>
      <c r="C2" s="8" t="s">
        <v>19</v>
      </c>
      <c r="D2" s="6">
        <v>10000</v>
      </c>
    </row>
    <row r="3" s="2" customFormat="1" spans="1:4">
      <c r="A3" s="7">
        <v>43656</v>
      </c>
      <c r="B3" s="8" t="s">
        <v>18</v>
      </c>
      <c r="C3" s="8" t="s">
        <v>20</v>
      </c>
      <c r="D3" s="6">
        <v>10000</v>
      </c>
    </row>
    <row r="4" s="2" customFormat="1" spans="1:4">
      <c r="A4" s="7">
        <v>43657</v>
      </c>
      <c r="B4" s="8" t="s">
        <v>13</v>
      </c>
      <c r="C4" s="8" t="s">
        <v>14</v>
      </c>
      <c r="D4" s="6">
        <v>10000</v>
      </c>
    </row>
    <row r="5" s="1" customFormat="1" spans="1:4">
      <c r="A5" s="7">
        <v>43659</v>
      </c>
      <c r="B5" s="8" t="s">
        <v>18</v>
      </c>
      <c r="C5" s="8" t="s">
        <v>20</v>
      </c>
      <c r="D5" s="6">
        <v>10000</v>
      </c>
    </row>
    <row r="6" s="1" customFormat="1" spans="1:4">
      <c r="A6" s="7">
        <v>43660</v>
      </c>
      <c r="B6" s="8" t="s">
        <v>13</v>
      </c>
      <c r="C6" s="8" t="s">
        <v>14</v>
      </c>
      <c r="D6" s="6">
        <v>10000</v>
      </c>
    </row>
    <row r="7" s="1" customFormat="1" spans="1:4">
      <c r="A7" s="7">
        <v>43660</v>
      </c>
      <c r="B7" s="8" t="s">
        <v>18</v>
      </c>
      <c r="C7" s="8" t="s">
        <v>19</v>
      </c>
      <c r="D7" s="6">
        <v>10000</v>
      </c>
    </row>
    <row r="8" s="2" customFormat="1" spans="1:4">
      <c r="A8" s="7">
        <v>43661</v>
      </c>
      <c r="B8" s="8" t="s">
        <v>13</v>
      </c>
      <c r="C8" s="8" t="s">
        <v>14</v>
      </c>
      <c r="D8" s="6">
        <v>10000</v>
      </c>
    </row>
    <row r="9" spans="1:4">
      <c r="A9" s="7">
        <v>43661</v>
      </c>
      <c r="B9" s="8" t="s">
        <v>15</v>
      </c>
      <c r="C9" s="8" t="s">
        <v>16</v>
      </c>
      <c r="D9" s="6">
        <v>10000</v>
      </c>
    </row>
    <row r="10" spans="1:4">
      <c r="A10" s="7">
        <v>43665</v>
      </c>
      <c r="B10" s="8" t="s">
        <v>13</v>
      </c>
      <c r="C10" s="8" t="s">
        <v>14</v>
      </c>
      <c r="D10" s="6">
        <v>10000</v>
      </c>
    </row>
    <row r="11" spans="1:4">
      <c r="A11" s="7">
        <v>43665</v>
      </c>
      <c r="B11" s="8" t="s">
        <v>18</v>
      </c>
      <c r="C11" s="8" t="s">
        <v>20</v>
      </c>
      <c r="D11" s="6">
        <v>10000</v>
      </c>
    </row>
    <row r="12" spans="1:4">
      <c r="A12" s="7">
        <v>43666</v>
      </c>
      <c r="B12" s="8" t="s">
        <v>18</v>
      </c>
      <c r="C12" s="8" t="s">
        <v>19</v>
      </c>
      <c r="D12" s="6">
        <v>10000</v>
      </c>
    </row>
    <row r="13" spans="1:4">
      <c r="A13" s="7">
        <v>43667</v>
      </c>
      <c r="B13" s="8" t="s">
        <v>13</v>
      </c>
      <c r="C13" s="8" t="s">
        <v>14</v>
      </c>
      <c r="D13" s="6">
        <v>10000</v>
      </c>
    </row>
    <row r="14" s="3" customFormat="1" spans="1:4">
      <c r="A14" s="7">
        <v>43668</v>
      </c>
      <c r="B14" s="8" t="s">
        <v>18</v>
      </c>
      <c r="C14" s="8" t="s">
        <v>19</v>
      </c>
      <c r="D14" s="6">
        <v>10000</v>
      </c>
    </row>
    <row r="15" s="3" customFormat="1" spans="1:4">
      <c r="A15" s="7">
        <v>43668</v>
      </c>
      <c r="B15" s="8" t="s">
        <v>18</v>
      </c>
      <c r="C15" s="8" t="s">
        <v>20</v>
      </c>
      <c r="D15" s="6">
        <v>10000</v>
      </c>
    </row>
    <row r="16" s="4" customFormat="1" spans="1:4">
      <c r="A16" s="9">
        <v>43671</v>
      </c>
      <c r="B16" s="8" t="s">
        <v>13</v>
      </c>
      <c r="C16" s="8" t="s">
        <v>14</v>
      </c>
      <c r="D16" s="10">
        <v>10000</v>
      </c>
    </row>
    <row r="17" s="4" customFormat="1" spans="1:4">
      <c r="A17" s="9">
        <v>43672</v>
      </c>
      <c r="B17" s="8" t="s">
        <v>18</v>
      </c>
      <c r="C17" s="8" t="s">
        <v>19</v>
      </c>
      <c r="D17" s="10">
        <v>10000</v>
      </c>
    </row>
    <row r="18" s="4" customFormat="1" spans="1:4">
      <c r="A18" s="9">
        <v>43672</v>
      </c>
      <c r="B18" s="8" t="s">
        <v>18</v>
      </c>
      <c r="C18" s="8" t="s">
        <v>20</v>
      </c>
      <c r="D18" s="10">
        <v>10000</v>
      </c>
    </row>
    <row r="19" spans="1:5">
      <c r="A19" s="11">
        <v>43673</v>
      </c>
      <c r="B19" s="12" t="s">
        <v>15</v>
      </c>
      <c r="C19" s="12" t="s">
        <v>16</v>
      </c>
      <c r="E19" s="13">
        <v>10000</v>
      </c>
    </row>
    <row r="20" s="2" customFormat="1" spans="1:4">
      <c r="A20" s="7">
        <v>43676</v>
      </c>
      <c r="B20" s="8" t="s">
        <v>13</v>
      </c>
      <c r="C20" s="8" t="s">
        <v>14</v>
      </c>
      <c r="D20" s="6">
        <v>10000</v>
      </c>
    </row>
    <row r="21" s="2" customFormat="1" spans="1:4">
      <c r="A21" s="7">
        <v>43676</v>
      </c>
      <c r="B21" s="8" t="s">
        <v>18</v>
      </c>
      <c r="C21" s="8" t="s">
        <v>20</v>
      </c>
      <c r="D21" s="6">
        <v>10000</v>
      </c>
    </row>
    <row r="22" s="2" customFormat="1" spans="1:4">
      <c r="A22" s="7">
        <v>43678</v>
      </c>
      <c r="B22" s="8" t="s">
        <v>15</v>
      </c>
      <c r="C22" s="8" t="s">
        <v>16</v>
      </c>
      <c r="D22" s="6">
        <v>10000</v>
      </c>
    </row>
    <row r="23" s="2" customFormat="1" spans="1:4">
      <c r="A23" s="7">
        <v>43678</v>
      </c>
      <c r="B23" s="8" t="s">
        <v>18</v>
      </c>
      <c r="C23" s="8" t="s">
        <v>19</v>
      </c>
      <c r="D23" s="6">
        <v>10000</v>
      </c>
    </row>
    <row r="24" s="2" customFormat="1" spans="1:4">
      <c r="A24" s="7">
        <v>43678</v>
      </c>
      <c r="B24" s="8" t="s">
        <v>18</v>
      </c>
      <c r="C24" s="8" t="s">
        <v>20</v>
      </c>
      <c r="D24" s="6">
        <v>10000</v>
      </c>
    </row>
    <row r="25" s="2" customFormat="1" spans="1:4">
      <c r="A25" s="7">
        <v>43681</v>
      </c>
      <c r="B25" s="8" t="s">
        <v>18</v>
      </c>
      <c r="C25" s="8" t="s">
        <v>20</v>
      </c>
      <c r="D25" s="6">
        <v>10000</v>
      </c>
    </row>
    <row r="26" s="2" customFormat="1" spans="1:4">
      <c r="A26" s="7">
        <v>43682</v>
      </c>
      <c r="B26" s="8" t="s">
        <v>31</v>
      </c>
      <c r="C26" s="8" t="s">
        <v>14</v>
      </c>
      <c r="D26" s="6">
        <v>10000</v>
      </c>
    </row>
    <row r="27" s="2" customFormat="1" spans="1:4">
      <c r="A27" s="7">
        <v>43682</v>
      </c>
      <c r="B27" s="8" t="s">
        <v>15</v>
      </c>
      <c r="C27" s="8" t="s">
        <v>16</v>
      </c>
      <c r="D27" s="6">
        <v>10000</v>
      </c>
    </row>
    <row r="28" s="2" customFormat="1" spans="1:4">
      <c r="A28" s="7">
        <v>43683</v>
      </c>
      <c r="B28" s="8" t="s">
        <v>18</v>
      </c>
      <c r="C28" s="8" t="s">
        <v>19</v>
      </c>
      <c r="D28" s="6">
        <v>10000</v>
      </c>
    </row>
    <row r="29" s="2" customFormat="1" spans="1:4">
      <c r="A29" s="7">
        <v>43683</v>
      </c>
      <c r="B29" s="8" t="s">
        <v>18</v>
      </c>
      <c r="C29" s="8" t="s">
        <v>20</v>
      </c>
      <c r="D29" s="6">
        <v>10000</v>
      </c>
    </row>
    <row r="30" s="2" customFormat="1" spans="1:4">
      <c r="A30" s="7">
        <v>43685</v>
      </c>
      <c r="B30" s="8" t="s">
        <v>11</v>
      </c>
      <c r="C30" s="8" t="s">
        <v>12</v>
      </c>
      <c r="D30" s="6">
        <v>10000</v>
      </c>
    </row>
    <row r="31" s="2" customFormat="1" spans="1:4">
      <c r="A31" s="7">
        <v>43687</v>
      </c>
      <c r="B31" s="8" t="s">
        <v>18</v>
      </c>
      <c r="C31" s="8" t="s">
        <v>40</v>
      </c>
      <c r="D31" s="6">
        <v>10000</v>
      </c>
    </row>
    <row r="32" s="2" customFormat="1" spans="1:4">
      <c r="A32" s="7">
        <v>43688</v>
      </c>
      <c r="B32" s="8" t="s">
        <v>15</v>
      </c>
      <c r="C32" s="8" t="s">
        <v>16</v>
      </c>
      <c r="D32" s="6">
        <v>10000</v>
      </c>
    </row>
    <row r="33" s="2" customFormat="1" spans="1:4">
      <c r="A33" s="7">
        <v>43690</v>
      </c>
      <c r="B33" s="8" t="s">
        <v>31</v>
      </c>
      <c r="C33" s="8" t="s">
        <v>19</v>
      </c>
      <c r="D33" s="6">
        <v>10000</v>
      </c>
    </row>
    <row r="34" s="2" customFormat="1" spans="1:4">
      <c r="A34" s="7">
        <v>43691</v>
      </c>
      <c r="B34" s="8" t="s">
        <v>18</v>
      </c>
      <c r="C34" s="8" t="s">
        <v>20</v>
      </c>
      <c r="D34" s="6">
        <v>10000</v>
      </c>
    </row>
    <row r="35" s="2" customFormat="1" spans="1:4">
      <c r="A35" s="7">
        <v>43691</v>
      </c>
      <c r="B35" s="8" t="s">
        <v>18</v>
      </c>
      <c r="C35" s="8" t="s">
        <v>40</v>
      </c>
      <c r="D35" s="6">
        <v>10000</v>
      </c>
    </row>
    <row r="36" s="2" customFormat="1" spans="1:4">
      <c r="A36" s="7">
        <v>43691</v>
      </c>
      <c r="B36" s="8"/>
      <c r="C36" s="8" t="s">
        <v>41</v>
      </c>
      <c r="D36" s="6">
        <v>10000</v>
      </c>
    </row>
    <row r="37" s="2" customFormat="1" spans="1:4">
      <c r="A37" s="7">
        <v>43694</v>
      </c>
      <c r="B37" s="8" t="s">
        <v>31</v>
      </c>
      <c r="C37" s="8" t="s">
        <v>19</v>
      </c>
      <c r="D37" s="6">
        <v>10000</v>
      </c>
    </row>
    <row r="38" s="2" customFormat="1" spans="1:4">
      <c r="A38" s="7">
        <v>43694</v>
      </c>
      <c r="B38" s="8" t="s">
        <v>18</v>
      </c>
      <c r="C38" s="8" t="s">
        <v>20</v>
      </c>
      <c r="D38" s="6">
        <v>10000</v>
      </c>
    </row>
    <row r="39" s="2" customFormat="1" spans="1:4">
      <c r="A39" s="7">
        <v>43696</v>
      </c>
      <c r="B39" s="8" t="s">
        <v>31</v>
      </c>
      <c r="C39" s="8" t="s">
        <v>19</v>
      </c>
      <c r="D39" s="6">
        <v>10000</v>
      </c>
    </row>
    <row r="40" s="2" customFormat="1" spans="1:4">
      <c r="A40" s="7">
        <v>43696</v>
      </c>
      <c r="B40" s="8" t="s">
        <v>18</v>
      </c>
      <c r="C40" s="8" t="s">
        <v>20</v>
      </c>
      <c r="D40" s="6">
        <v>10000</v>
      </c>
    </row>
    <row r="41" s="2" customFormat="1" spans="1:4">
      <c r="A41" s="7">
        <v>43696</v>
      </c>
      <c r="B41" s="8" t="s">
        <v>18</v>
      </c>
      <c r="C41" s="8" t="s">
        <v>40</v>
      </c>
      <c r="D41" s="6">
        <v>10000</v>
      </c>
    </row>
    <row r="42" s="2" customFormat="1" spans="1:4">
      <c r="A42" s="7">
        <v>43699</v>
      </c>
      <c r="B42" s="8" t="s">
        <v>31</v>
      </c>
      <c r="C42" s="8" t="s">
        <v>19</v>
      </c>
      <c r="D42" s="6">
        <v>10000</v>
      </c>
    </row>
    <row r="43" s="2" customFormat="1" spans="1:4">
      <c r="A43" s="7">
        <v>43700</v>
      </c>
      <c r="B43" s="8" t="s">
        <v>18</v>
      </c>
      <c r="C43" s="8" t="s">
        <v>40</v>
      </c>
      <c r="D43" s="6">
        <v>10000</v>
      </c>
    </row>
    <row r="44" s="2" customFormat="1" spans="1:4">
      <c r="A44" s="7">
        <v>43701</v>
      </c>
      <c r="B44" s="8" t="s">
        <v>18</v>
      </c>
      <c r="C44" s="8" t="s">
        <v>20</v>
      </c>
      <c r="D44" s="6">
        <v>10000</v>
      </c>
    </row>
    <row r="45" s="2" customFormat="1" spans="1:4">
      <c r="A45" s="7">
        <v>43702</v>
      </c>
      <c r="B45" s="8" t="s">
        <v>31</v>
      </c>
      <c r="C45" s="8" t="s">
        <v>19</v>
      </c>
      <c r="D45" s="6">
        <v>10000</v>
      </c>
    </row>
    <row r="46" s="2" customFormat="1" spans="1:4">
      <c r="A46" s="7">
        <v>43704</v>
      </c>
      <c r="B46" s="8" t="s">
        <v>18</v>
      </c>
      <c r="C46" s="8" t="s">
        <v>20</v>
      </c>
      <c r="D46" s="6">
        <v>10000</v>
      </c>
    </row>
    <row r="47" s="2" customFormat="1" spans="1:4">
      <c r="A47" s="7">
        <v>43705</v>
      </c>
      <c r="B47" s="8" t="s">
        <v>31</v>
      </c>
      <c r="C47" s="8" t="s">
        <v>19</v>
      </c>
      <c r="D47" s="6">
        <v>10000</v>
      </c>
    </row>
    <row r="48" s="2" customFormat="1" spans="1:4">
      <c r="A48" s="7">
        <v>43707</v>
      </c>
      <c r="B48" s="8" t="s">
        <v>31</v>
      </c>
      <c r="C48" s="8" t="s">
        <v>19</v>
      </c>
      <c r="D48" s="6">
        <v>10000</v>
      </c>
    </row>
    <row r="49" s="2" customFormat="1" spans="1:4">
      <c r="A49" s="7">
        <v>43707</v>
      </c>
      <c r="B49" s="8" t="s">
        <v>18</v>
      </c>
      <c r="C49" s="8" t="s">
        <v>20</v>
      </c>
      <c r="D49" s="6">
        <v>10000</v>
      </c>
    </row>
    <row r="50" s="2" customFormat="1" spans="1:4">
      <c r="A50" s="7">
        <v>43707</v>
      </c>
      <c r="B50" s="8" t="s">
        <v>18</v>
      </c>
      <c r="C50" s="8" t="s">
        <v>40</v>
      </c>
      <c r="D50" s="6">
        <v>10000</v>
      </c>
    </row>
    <row r="51" s="2" customFormat="1" spans="1:4">
      <c r="A51" s="7">
        <v>43709</v>
      </c>
      <c r="B51" s="8" t="s">
        <v>15</v>
      </c>
      <c r="C51" s="8" t="s">
        <v>16</v>
      </c>
      <c r="D51" s="6">
        <v>10000</v>
      </c>
    </row>
    <row r="52" s="2" customFormat="1" spans="1:4">
      <c r="A52" s="7">
        <v>43711</v>
      </c>
      <c r="B52" s="8" t="s">
        <v>31</v>
      </c>
      <c r="C52" s="8" t="s">
        <v>19</v>
      </c>
      <c r="D52" s="6">
        <v>10000</v>
      </c>
    </row>
    <row r="53" s="2" customFormat="1" spans="1:4">
      <c r="A53" s="7">
        <v>43711</v>
      </c>
      <c r="B53" s="8" t="s">
        <v>18</v>
      </c>
      <c r="C53" s="8" t="s">
        <v>20</v>
      </c>
      <c r="D53" s="6">
        <v>10000</v>
      </c>
    </row>
    <row r="54" s="2" customFormat="1" spans="1:4">
      <c r="A54" s="7">
        <v>43711</v>
      </c>
      <c r="B54" s="8" t="s">
        <v>18</v>
      </c>
      <c r="C54" s="8" t="s">
        <v>40</v>
      </c>
      <c r="D54" s="6">
        <v>10000</v>
      </c>
    </row>
    <row r="55" s="2" customFormat="1" spans="1:4">
      <c r="A55" s="7">
        <v>43713</v>
      </c>
      <c r="B55" s="8" t="s">
        <v>31</v>
      </c>
      <c r="C55" s="8" t="s">
        <v>19</v>
      </c>
      <c r="D55" s="6">
        <v>10000</v>
      </c>
    </row>
    <row r="56" s="2" customFormat="1" spans="1:4">
      <c r="A56" s="7">
        <v>43715</v>
      </c>
      <c r="B56" s="8" t="s">
        <v>18</v>
      </c>
      <c r="C56" s="8" t="s">
        <v>20</v>
      </c>
      <c r="D56" s="6">
        <v>10000</v>
      </c>
    </row>
    <row r="57" s="2" customFormat="1" spans="1:4">
      <c r="A57" s="7">
        <v>43716</v>
      </c>
      <c r="B57" s="8" t="s">
        <v>11</v>
      </c>
      <c r="C57" s="8" t="s">
        <v>12</v>
      </c>
      <c r="D57" s="6">
        <v>10000</v>
      </c>
    </row>
    <row r="58" s="2" customFormat="1" spans="1:4">
      <c r="A58" s="7">
        <v>43716</v>
      </c>
      <c r="B58" s="8" t="s">
        <v>31</v>
      </c>
      <c r="C58" s="8" t="s">
        <v>19</v>
      </c>
      <c r="D58" s="6">
        <v>10000</v>
      </c>
    </row>
    <row r="59" s="3" customFormat="1" spans="1:4">
      <c r="A59" s="7">
        <v>43717</v>
      </c>
      <c r="B59" s="8" t="s">
        <v>18</v>
      </c>
      <c r="C59" s="8" t="s">
        <v>40</v>
      </c>
      <c r="D59" s="6">
        <v>10000</v>
      </c>
    </row>
    <row r="60" s="2" customFormat="1" spans="1:4">
      <c r="A60" s="7">
        <v>43718</v>
      </c>
      <c r="B60" s="8" t="s">
        <v>31</v>
      </c>
      <c r="C60" s="8" t="s">
        <v>19</v>
      </c>
      <c r="D60" s="6">
        <v>10000</v>
      </c>
    </row>
    <row r="61" s="3" customFormat="1" spans="1:4">
      <c r="A61" s="7">
        <v>43718</v>
      </c>
      <c r="B61" s="8" t="s">
        <v>18</v>
      </c>
      <c r="C61" s="8" t="s">
        <v>20</v>
      </c>
      <c r="D61" s="6">
        <v>10000</v>
      </c>
    </row>
    <row r="62" s="2" customFormat="1" spans="1:4">
      <c r="A62" s="7">
        <v>43720</v>
      </c>
      <c r="B62" s="8" t="s">
        <v>31</v>
      </c>
      <c r="C62" s="8" t="s">
        <v>19</v>
      </c>
      <c r="D62" s="6">
        <v>10000</v>
      </c>
    </row>
    <row r="63" s="2" customFormat="1" spans="1:4">
      <c r="A63" s="7">
        <v>43721</v>
      </c>
      <c r="B63" s="8" t="s">
        <v>18</v>
      </c>
      <c r="C63" s="8" t="s">
        <v>40</v>
      </c>
      <c r="D63" s="6">
        <v>10000</v>
      </c>
    </row>
    <row r="64" spans="1:4">
      <c r="A64" s="7">
        <v>43724</v>
      </c>
      <c r="B64" s="8" t="s">
        <v>31</v>
      </c>
      <c r="C64" s="8" t="s">
        <v>19</v>
      </c>
      <c r="D64" s="6">
        <v>10000</v>
      </c>
    </row>
    <row r="65" spans="1:4">
      <c r="A65" s="7">
        <v>43724</v>
      </c>
      <c r="B65" s="8" t="s">
        <v>18</v>
      </c>
      <c r="C65" s="8" t="s">
        <v>20</v>
      </c>
      <c r="D65" s="6">
        <v>10000</v>
      </c>
    </row>
    <row r="66" s="2" customFormat="1" spans="1:4">
      <c r="A66" s="7">
        <v>43726</v>
      </c>
      <c r="B66" s="8" t="s">
        <v>31</v>
      </c>
      <c r="C66" s="8" t="s">
        <v>19</v>
      </c>
      <c r="D66" s="6">
        <v>10000</v>
      </c>
    </row>
    <row r="67" s="2" customFormat="1" spans="1:4">
      <c r="A67" s="7">
        <v>43727</v>
      </c>
      <c r="B67" s="8" t="s">
        <v>18</v>
      </c>
      <c r="C67" s="8" t="s">
        <v>20</v>
      </c>
      <c r="D67" s="6">
        <v>10000</v>
      </c>
    </row>
    <row r="68" s="2" customFormat="1" spans="1:4">
      <c r="A68" s="7">
        <v>43729</v>
      </c>
      <c r="B68" s="8" t="s">
        <v>31</v>
      </c>
      <c r="C68" s="8" t="s">
        <v>19</v>
      </c>
      <c r="D68" s="6">
        <v>10000</v>
      </c>
    </row>
    <row r="69" s="2" customFormat="1" spans="1:4">
      <c r="A69" s="7">
        <v>43730</v>
      </c>
      <c r="B69" s="8" t="s">
        <v>18</v>
      </c>
      <c r="C69" s="8" t="s">
        <v>20</v>
      </c>
      <c r="D69" s="6">
        <v>10000</v>
      </c>
    </row>
    <row r="70" s="2" customFormat="1" spans="1:4">
      <c r="A70" s="7">
        <v>43731</v>
      </c>
      <c r="B70" s="8" t="s">
        <v>31</v>
      </c>
      <c r="C70" s="8" t="s">
        <v>19</v>
      </c>
      <c r="D70" s="6">
        <v>10000</v>
      </c>
    </row>
    <row r="71" s="2" customFormat="1" spans="1:4">
      <c r="A71" s="7">
        <v>43732</v>
      </c>
      <c r="B71" s="8" t="s">
        <v>18</v>
      </c>
      <c r="C71" s="8" t="s">
        <v>40</v>
      </c>
      <c r="D71" s="6">
        <v>10000</v>
      </c>
    </row>
    <row r="72" s="2" customFormat="1" spans="1:4">
      <c r="A72" s="7">
        <v>43734</v>
      </c>
      <c r="B72" s="8" t="s">
        <v>31</v>
      </c>
      <c r="C72" s="8" t="s">
        <v>19</v>
      </c>
      <c r="D72" s="6">
        <v>10000</v>
      </c>
    </row>
    <row r="73" s="2" customFormat="1" spans="1:4">
      <c r="A73" s="7">
        <v>43734</v>
      </c>
      <c r="B73" s="8" t="s">
        <v>18</v>
      </c>
      <c r="C73" s="8" t="s">
        <v>20</v>
      </c>
      <c r="D73" s="6">
        <v>10000</v>
      </c>
    </row>
    <row r="74" s="2" customFormat="1" spans="1:4">
      <c r="A74" s="14">
        <v>43737</v>
      </c>
      <c r="B74" s="8" t="s">
        <v>18</v>
      </c>
      <c r="C74" s="8" t="s">
        <v>40</v>
      </c>
      <c r="D74" s="6">
        <v>10000</v>
      </c>
    </row>
    <row r="75" s="2" customFormat="1" spans="1:4">
      <c r="A75" s="7">
        <v>43738</v>
      </c>
      <c r="B75" s="8" t="s">
        <v>31</v>
      </c>
      <c r="C75" s="8" t="s">
        <v>19</v>
      </c>
      <c r="D75" s="6">
        <v>10000</v>
      </c>
    </row>
    <row r="76" s="2" customFormat="1" spans="1:4">
      <c r="A76" s="7">
        <v>43740</v>
      </c>
      <c r="B76" s="8" t="s">
        <v>31</v>
      </c>
      <c r="C76" s="8" t="s">
        <v>19</v>
      </c>
      <c r="D76" s="6">
        <v>10000</v>
      </c>
    </row>
    <row r="77" s="2" customFormat="1" spans="1:4">
      <c r="A77" s="7">
        <v>43741</v>
      </c>
      <c r="B77" s="8" t="s">
        <v>18</v>
      </c>
      <c r="C77" s="8" t="s">
        <v>40</v>
      </c>
      <c r="D77" s="6">
        <v>10000</v>
      </c>
    </row>
    <row r="78" s="2" customFormat="1" spans="1:4">
      <c r="A78" s="7">
        <v>43743</v>
      </c>
      <c r="B78" s="8" t="s">
        <v>31</v>
      </c>
      <c r="C78" s="8" t="s">
        <v>19</v>
      </c>
      <c r="D78" s="6">
        <v>10000</v>
      </c>
    </row>
    <row r="79" s="2" customFormat="1" spans="1:4">
      <c r="A79" s="7">
        <v>43743</v>
      </c>
      <c r="B79" s="8" t="s">
        <v>18</v>
      </c>
      <c r="C79" s="8" t="s">
        <v>40</v>
      </c>
      <c r="D79" s="6">
        <v>10000</v>
      </c>
    </row>
    <row r="80" s="2" customFormat="1" spans="1:4">
      <c r="A80" s="7">
        <v>43745</v>
      </c>
      <c r="B80" s="8" t="s">
        <v>31</v>
      </c>
      <c r="C80" s="8" t="s">
        <v>19</v>
      </c>
      <c r="D80" s="6">
        <v>10000</v>
      </c>
    </row>
    <row r="81" s="2" customFormat="1" spans="1:4">
      <c r="A81" s="7">
        <v>43746</v>
      </c>
      <c r="B81" s="8" t="s">
        <v>11</v>
      </c>
      <c r="C81" s="8" t="s">
        <v>12</v>
      </c>
      <c r="D81" s="6">
        <v>10000</v>
      </c>
    </row>
    <row r="82" s="2" customFormat="1" spans="1:4">
      <c r="A82" s="7">
        <v>43747</v>
      </c>
      <c r="B82" s="8" t="s">
        <v>31</v>
      </c>
      <c r="C82" s="8" t="s">
        <v>19</v>
      </c>
      <c r="D82" s="6">
        <v>10000</v>
      </c>
    </row>
    <row r="83" s="2" customFormat="1" spans="1:4">
      <c r="A83" s="7">
        <v>43748</v>
      </c>
      <c r="B83" s="8" t="s">
        <v>65</v>
      </c>
      <c r="C83" s="8" t="s">
        <v>16</v>
      </c>
      <c r="D83" s="6">
        <v>10000</v>
      </c>
    </row>
    <row r="84" s="2" customFormat="1" spans="1:4">
      <c r="A84" s="7">
        <v>43748</v>
      </c>
      <c r="B84" s="8" t="s">
        <v>31</v>
      </c>
      <c r="C84" s="8" t="s">
        <v>19</v>
      </c>
      <c r="D84" s="6">
        <v>10000</v>
      </c>
    </row>
    <row r="85" s="2" customFormat="1" spans="1:4">
      <c r="A85" s="7">
        <v>43748</v>
      </c>
      <c r="B85" s="8" t="s">
        <v>18</v>
      </c>
      <c r="C85" s="8" t="s">
        <v>40</v>
      </c>
      <c r="D85" s="6">
        <v>10000</v>
      </c>
    </row>
    <row r="86" s="2" customFormat="1" spans="1:4">
      <c r="A86" s="7">
        <v>43752</v>
      </c>
      <c r="B86" s="8" t="s">
        <v>18</v>
      </c>
      <c r="C86" s="8" t="s">
        <v>40</v>
      </c>
      <c r="D86" s="6">
        <v>10000</v>
      </c>
    </row>
    <row r="87" s="2" customFormat="1" spans="1:4">
      <c r="A87" s="7">
        <v>43753</v>
      </c>
      <c r="B87" s="8" t="s">
        <v>31</v>
      </c>
      <c r="C87" s="8" t="s">
        <v>19</v>
      </c>
      <c r="D87" s="6">
        <v>10000</v>
      </c>
    </row>
    <row r="88" s="2" customFormat="1" spans="1:4">
      <c r="A88" s="7">
        <v>43754</v>
      </c>
      <c r="B88" s="8" t="s">
        <v>31</v>
      </c>
      <c r="C88" s="8" t="s">
        <v>19</v>
      </c>
      <c r="D88" s="6">
        <v>10000</v>
      </c>
    </row>
    <row r="89" s="2" customFormat="1" spans="1:4">
      <c r="A89" s="7">
        <v>43754</v>
      </c>
      <c r="B89" s="8" t="s">
        <v>18</v>
      </c>
      <c r="C89" s="8" t="s">
        <v>40</v>
      </c>
      <c r="D89" s="6">
        <v>10000</v>
      </c>
    </row>
    <row r="90" s="2" customFormat="1" spans="1:4">
      <c r="A90" s="7">
        <v>43756</v>
      </c>
      <c r="B90" s="8" t="s">
        <v>31</v>
      </c>
      <c r="C90" s="8" t="s">
        <v>19</v>
      </c>
      <c r="D90" s="6">
        <v>10000</v>
      </c>
    </row>
    <row r="91" s="2" customFormat="1" spans="1:4">
      <c r="A91" s="7">
        <v>43757</v>
      </c>
      <c r="B91" s="8" t="s">
        <v>18</v>
      </c>
      <c r="C91" s="8" t="s">
        <v>20</v>
      </c>
      <c r="D91" s="6">
        <v>10000</v>
      </c>
    </row>
    <row r="92" s="2" customFormat="1" spans="1:4">
      <c r="A92" s="7">
        <v>43759</v>
      </c>
      <c r="B92" s="8" t="s">
        <v>31</v>
      </c>
      <c r="C92" s="8" t="s">
        <v>19</v>
      </c>
      <c r="D92" s="6">
        <v>10000</v>
      </c>
    </row>
    <row r="93" s="2" customFormat="1" spans="1:4">
      <c r="A93" s="7">
        <v>43760</v>
      </c>
      <c r="B93" s="8" t="s">
        <v>18</v>
      </c>
      <c r="C93" s="8" t="s">
        <v>20</v>
      </c>
      <c r="D93" s="6">
        <v>10000</v>
      </c>
    </row>
    <row r="94" s="2" customFormat="1" spans="1:4">
      <c r="A94" s="7">
        <v>43760</v>
      </c>
      <c r="B94" s="8" t="s">
        <v>18</v>
      </c>
      <c r="C94" s="8" t="s">
        <v>40</v>
      </c>
      <c r="D94" s="6">
        <v>10000</v>
      </c>
    </row>
    <row r="95" s="2" customFormat="1" spans="1:4">
      <c r="A95" s="7">
        <v>43760</v>
      </c>
      <c r="B95" s="8" t="s">
        <v>82</v>
      </c>
      <c r="C95" s="8" t="s">
        <v>83</v>
      </c>
      <c r="D95" s="6">
        <v>10000</v>
      </c>
    </row>
    <row r="96" s="2" customFormat="1" spans="1:4">
      <c r="A96" s="7">
        <v>43762</v>
      </c>
      <c r="B96" s="8" t="s">
        <v>31</v>
      </c>
      <c r="C96" s="8" t="s">
        <v>19</v>
      </c>
      <c r="D96" s="6">
        <v>10000</v>
      </c>
    </row>
    <row r="97" s="2" customFormat="1" spans="1:4">
      <c r="A97" s="7">
        <v>43763</v>
      </c>
      <c r="B97" s="8" t="s">
        <v>18</v>
      </c>
      <c r="C97" s="8" t="s">
        <v>20</v>
      </c>
      <c r="D97" s="6">
        <v>10000</v>
      </c>
    </row>
    <row r="98" s="2" customFormat="1" spans="1:4">
      <c r="A98" s="7">
        <v>43765</v>
      </c>
      <c r="B98" s="8" t="s">
        <v>31</v>
      </c>
      <c r="C98" s="8" t="s">
        <v>19</v>
      </c>
      <c r="D98" s="6">
        <v>10000</v>
      </c>
    </row>
    <row r="99" s="2" customFormat="1" spans="1:4">
      <c r="A99" s="7">
        <v>43765</v>
      </c>
      <c r="B99" s="8" t="s">
        <v>18</v>
      </c>
      <c r="C99" s="8" t="s">
        <v>20</v>
      </c>
      <c r="D99" s="6">
        <v>10000</v>
      </c>
    </row>
    <row r="100" s="2" customFormat="1" spans="1:4">
      <c r="A100" s="7">
        <v>43765</v>
      </c>
      <c r="B100" s="8" t="s">
        <v>18</v>
      </c>
      <c r="C100" s="8" t="s">
        <v>40</v>
      </c>
      <c r="D100" s="6">
        <v>10000</v>
      </c>
    </row>
    <row r="101" s="2" customFormat="1" spans="1:4">
      <c r="A101" s="7">
        <v>43766</v>
      </c>
      <c r="B101" s="8" t="s">
        <v>31</v>
      </c>
      <c r="C101" s="8" t="s">
        <v>19</v>
      </c>
      <c r="D101" s="6">
        <v>10000</v>
      </c>
    </row>
    <row r="102" s="2" customFormat="1" spans="1:4">
      <c r="A102" s="7">
        <v>43767</v>
      </c>
      <c r="B102" s="8" t="s">
        <v>82</v>
      </c>
      <c r="C102" s="8" t="s">
        <v>83</v>
      </c>
      <c r="D102" s="6">
        <v>10000</v>
      </c>
    </row>
    <row r="103" s="2" customFormat="1" spans="1:4">
      <c r="A103" s="7">
        <v>43769</v>
      </c>
      <c r="B103" s="8" t="s">
        <v>18</v>
      </c>
      <c r="C103" s="8" t="s">
        <v>20</v>
      </c>
      <c r="D103" s="6">
        <v>10000</v>
      </c>
    </row>
    <row r="104" s="2" customFormat="1" spans="1:4">
      <c r="A104" s="7">
        <v>43769</v>
      </c>
      <c r="B104" s="8" t="s">
        <v>18</v>
      </c>
      <c r="C104" s="8" t="s">
        <v>40</v>
      </c>
      <c r="D104" s="6">
        <v>10000</v>
      </c>
    </row>
    <row r="105" s="2" customFormat="1" spans="1:4">
      <c r="A105" s="7">
        <v>43770</v>
      </c>
      <c r="B105" s="8" t="s">
        <v>31</v>
      </c>
      <c r="C105" s="8" t="s">
        <v>19</v>
      </c>
      <c r="D105" s="6">
        <v>10000</v>
      </c>
    </row>
    <row r="106" s="2" customFormat="1" spans="1:4">
      <c r="A106" s="7">
        <v>43771</v>
      </c>
      <c r="B106" s="8" t="s">
        <v>31</v>
      </c>
      <c r="C106" s="8" t="s">
        <v>19</v>
      </c>
      <c r="D106" s="6">
        <v>10000</v>
      </c>
    </row>
    <row r="107" s="2" customFormat="1" spans="1:4">
      <c r="A107" s="7">
        <v>43771</v>
      </c>
      <c r="B107" s="8" t="s">
        <v>82</v>
      </c>
      <c r="C107" s="8" t="s">
        <v>83</v>
      </c>
      <c r="D107" s="6">
        <v>10000</v>
      </c>
    </row>
    <row r="108" s="2" customFormat="1" spans="1:4">
      <c r="A108" s="7">
        <v>43772</v>
      </c>
      <c r="B108" s="8" t="s">
        <v>65</v>
      </c>
      <c r="C108" s="8" t="s">
        <v>16</v>
      </c>
      <c r="D108" s="6">
        <v>10000</v>
      </c>
    </row>
    <row r="109" s="2" customFormat="1" spans="1:4">
      <c r="A109" s="7">
        <v>43772</v>
      </c>
      <c r="B109" s="8" t="s">
        <v>31</v>
      </c>
      <c r="C109" s="8" t="s">
        <v>19</v>
      </c>
      <c r="D109" s="6">
        <v>10000</v>
      </c>
    </row>
    <row r="110" s="2" customFormat="1" spans="1:4">
      <c r="A110" s="7">
        <v>43775</v>
      </c>
      <c r="B110" s="8" t="s">
        <v>31</v>
      </c>
      <c r="C110" s="8" t="s">
        <v>19</v>
      </c>
      <c r="D110" s="6">
        <v>10000</v>
      </c>
    </row>
    <row r="111" s="2" customFormat="1" spans="1:4">
      <c r="A111" s="7">
        <v>43775</v>
      </c>
      <c r="B111" s="8" t="s">
        <v>18</v>
      </c>
      <c r="C111" s="8" t="s">
        <v>20</v>
      </c>
      <c r="D111" s="6">
        <v>10000</v>
      </c>
    </row>
    <row r="112" s="2" customFormat="1" spans="1:4">
      <c r="A112" s="7">
        <v>43775</v>
      </c>
      <c r="B112" s="8" t="s">
        <v>18</v>
      </c>
      <c r="C112" s="8" t="s">
        <v>40</v>
      </c>
      <c r="D112" s="6">
        <v>10000</v>
      </c>
    </row>
    <row r="113" s="2" customFormat="1" spans="1:4">
      <c r="A113" s="7">
        <v>43777</v>
      </c>
      <c r="B113" s="8" t="s">
        <v>31</v>
      </c>
      <c r="C113" s="8" t="s">
        <v>19</v>
      </c>
      <c r="D113" s="6">
        <v>10000</v>
      </c>
    </row>
    <row r="114" s="2" customFormat="1" spans="1:4">
      <c r="A114" s="7">
        <v>43777</v>
      </c>
      <c r="B114" s="8" t="s">
        <v>82</v>
      </c>
      <c r="C114" s="8" t="s">
        <v>83</v>
      </c>
      <c r="D114" s="6">
        <v>10000</v>
      </c>
    </row>
    <row r="115" s="2" customFormat="1" spans="1:4">
      <c r="A115" s="7">
        <v>43778</v>
      </c>
      <c r="B115" s="8" t="s">
        <v>18</v>
      </c>
      <c r="C115" s="8" t="s">
        <v>20</v>
      </c>
      <c r="D115" s="6">
        <v>10000</v>
      </c>
    </row>
    <row r="116" s="2" customFormat="1" spans="1:4">
      <c r="A116" s="7">
        <v>43778</v>
      </c>
      <c r="B116" s="8" t="s">
        <v>18</v>
      </c>
      <c r="C116" s="8" t="s">
        <v>40</v>
      </c>
      <c r="D116" s="6">
        <v>10000</v>
      </c>
    </row>
    <row r="117" s="2" customFormat="1" spans="1:4">
      <c r="A117" s="7">
        <v>43781</v>
      </c>
      <c r="B117" s="8" t="s">
        <v>31</v>
      </c>
      <c r="C117" s="8" t="s">
        <v>19</v>
      </c>
      <c r="D117" s="6">
        <v>10000</v>
      </c>
    </row>
    <row r="118" s="2" customFormat="1" spans="1:4">
      <c r="A118" s="7">
        <v>43783</v>
      </c>
      <c r="B118" s="8" t="s">
        <v>31</v>
      </c>
      <c r="C118" s="8" t="s">
        <v>19</v>
      </c>
      <c r="D118" s="6">
        <v>10000</v>
      </c>
    </row>
    <row r="119" s="2" customFormat="1" spans="1:4">
      <c r="A119" s="7">
        <v>43783</v>
      </c>
      <c r="B119" s="8" t="s">
        <v>18</v>
      </c>
      <c r="C119" s="8" t="s">
        <v>20</v>
      </c>
      <c r="D119" s="6">
        <v>10000</v>
      </c>
    </row>
    <row r="120" s="2" customFormat="1" spans="1:4">
      <c r="A120" s="7">
        <v>43783</v>
      </c>
      <c r="B120" s="8" t="s">
        <v>18</v>
      </c>
      <c r="C120" s="8" t="s">
        <v>40</v>
      </c>
      <c r="D120" s="6">
        <v>10000</v>
      </c>
    </row>
    <row r="121" s="2" customFormat="1" spans="1:4">
      <c r="A121" s="7">
        <v>43785</v>
      </c>
      <c r="B121" s="8" t="s">
        <v>31</v>
      </c>
      <c r="C121" s="8" t="s">
        <v>19</v>
      </c>
      <c r="D121" s="6">
        <v>10000</v>
      </c>
    </row>
    <row r="122" s="2" customFormat="1" spans="1:4">
      <c r="A122" s="7">
        <v>43785</v>
      </c>
      <c r="B122" s="8" t="s">
        <v>18</v>
      </c>
      <c r="C122" s="8" t="s">
        <v>20</v>
      </c>
      <c r="D122" s="6">
        <v>10000</v>
      </c>
    </row>
    <row r="123" s="2" customFormat="1" spans="1:4">
      <c r="A123" s="7">
        <v>43788</v>
      </c>
      <c r="B123" s="8" t="s">
        <v>31</v>
      </c>
      <c r="C123" s="8" t="s">
        <v>19</v>
      </c>
      <c r="D123" s="6">
        <v>10000</v>
      </c>
    </row>
    <row r="124" s="2" customFormat="1" spans="1:4">
      <c r="A124" s="7">
        <v>43788</v>
      </c>
      <c r="B124" s="8" t="s">
        <v>18</v>
      </c>
      <c r="C124" s="8" t="s">
        <v>20</v>
      </c>
      <c r="D124" s="6">
        <v>10000</v>
      </c>
    </row>
    <row r="125" s="2" customFormat="1" spans="1:4">
      <c r="A125" s="7">
        <v>43788</v>
      </c>
      <c r="B125" s="8" t="s">
        <v>18</v>
      </c>
      <c r="C125" s="8" t="s">
        <v>40</v>
      </c>
      <c r="D125" s="6">
        <v>10000</v>
      </c>
    </row>
    <row r="126" spans="1:4">
      <c r="A126" s="7">
        <v>43792</v>
      </c>
      <c r="B126" s="8" t="s">
        <v>18</v>
      </c>
      <c r="C126" s="8" t="s">
        <v>20</v>
      </c>
      <c r="D126" s="6">
        <v>5000</v>
      </c>
    </row>
    <row r="127" spans="1:4">
      <c r="A127" s="7">
        <v>43792</v>
      </c>
      <c r="B127" s="8" t="s">
        <v>18</v>
      </c>
      <c r="C127" s="8" t="s">
        <v>40</v>
      </c>
      <c r="D127" s="6">
        <v>5000</v>
      </c>
    </row>
    <row r="128" spans="1:4">
      <c r="A128" s="7">
        <v>43792</v>
      </c>
      <c r="B128" s="6" t="s">
        <v>82</v>
      </c>
      <c r="C128" s="8" t="s">
        <v>83</v>
      </c>
      <c r="D128" s="6">
        <v>5000</v>
      </c>
    </row>
  </sheetData>
  <autoFilter ref="A1:F128">
    <extLst/>
  </autoFilter>
  <pageMargins left="0.75" right="0.75" top="1" bottom="1" header="0.5" footer="0.5"/>
  <headerFooter/>
  <legacyDrawing r:id="rId2"/>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7</vt:i4>
      </vt:variant>
    </vt:vector>
  </HeadingPairs>
  <TitlesOfParts>
    <vt:vector size="7" baseType="lpstr">
      <vt:lpstr>7月</vt:lpstr>
      <vt:lpstr>8月</vt:lpstr>
      <vt:lpstr>9月</vt:lpstr>
      <vt:lpstr>10月</vt:lpstr>
      <vt:lpstr>Sheet2</vt:lpstr>
      <vt:lpstr>Sheet3</vt:lpstr>
      <vt:lpstr>充值收入</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铭</cp:lastModifiedBy>
  <dcterms:created xsi:type="dcterms:W3CDTF">2018-11-09T08:00:00Z</dcterms:created>
  <dcterms:modified xsi:type="dcterms:W3CDTF">2022-02-09T06:38:19Z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16C5A7B5AB1B457FA0B59A7F43B79211</vt:lpwstr>
  </property>
  <property fmtid="{D5CDD505-2E9C-101B-9397-08002B2CF9AE}" pid="3" name="KSOProductBuildVer">
    <vt:lpwstr>2052-11.1.0.11045</vt:lpwstr>
  </property>
  <property fmtid="{D5CDD505-2E9C-101B-9397-08002B2CF9AE}" pid="4" name="KSOTemplateUUID">
    <vt:lpwstr>v1.0_mb_fR6oUoTpJ3Q5Bi4b4Orelw==</vt:lpwstr>
  </property>
</Properties>
</file>